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DCEPS 2025\AG et PPM 2025\Avis généraux et PPM Mails reçus\SONAGESS\"/>
    </mc:Choice>
  </mc:AlternateContent>
  <bookViews>
    <workbookView xWindow="0" yWindow="0" windowWidth="20490" windowHeight="7650"/>
  </bookViews>
  <sheets>
    <sheet name="PPM 2025" sheetId="1" r:id="rId1"/>
  </sheets>
  <definedNames>
    <definedName name="_xlnm._FilterDatabase" localSheetId="0" hidden="1">'PPM 2025'!$A$12:$P$194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89" i="1" l="1"/>
  <c r="J174" i="1"/>
  <c r="F180" i="1"/>
  <c r="E177" i="1"/>
  <c r="D177" i="1"/>
  <c r="J172" i="1"/>
  <c r="L172" i="1" s="1"/>
  <c r="N172" i="1" s="1"/>
  <c r="F172" i="1"/>
  <c r="F149" i="1"/>
  <c r="F148" i="1"/>
  <c r="J149" i="1"/>
  <c r="L149" i="1" s="1"/>
  <c r="J148" i="1"/>
  <c r="L148" i="1" s="1"/>
  <c r="E143" i="1"/>
  <c r="E132" i="1"/>
  <c r="D130" i="1"/>
  <c r="J100" i="1"/>
  <c r="J101" i="1"/>
  <c r="E97" i="1"/>
  <c r="J95" i="1"/>
  <c r="L95" i="1" s="1"/>
  <c r="F95" i="1"/>
  <c r="E77" i="1"/>
  <c r="J82" i="1"/>
  <c r="L82" i="1" s="1"/>
  <c r="N82" i="1" s="1"/>
  <c r="E37" i="1"/>
  <c r="A107" i="1" l="1"/>
  <c r="A109" i="1"/>
  <c r="E192" i="1"/>
  <c r="L183" i="1"/>
  <c r="N183" i="1" s="1"/>
  <c r="J183" i="1"/>
  <c r="F183" i="1"/>
  <c r="J190" i="1"/>
  <c r="L190" i="1" s="1"/>
  <c r="N190" i="1" s="1"/>
  <c r="F190" i="1"/>
  <c r="L189" i="1"/>
  <c r="N189" i="1" s="1"/>
  <c r="F189" i="1"/>
  <c r="D184" i="1"/>
  <c r="F176" i="1"/>
  <c r="J176" i="1"/>
  <c r="L176" i="1" s="1"/>
  <c r="N176" i="1" s="1"/>
  <c r="J173" i="1"/>
  <c r="L173" i="1" s="1"/>
  <c r="N173" i="1" s="1"/>
  <c r="L174" i="1"/>
  <c r="N174" i="1" s="1"/>
  <c r="J175" i="1"/>
  <c r="E170" i="1"/>
  <c r="D170" i="1"/>
  <c r="F169" i="1"/>
  <c r="F170" i="1" s="1"/>
  <c r="J147" i="1"/>
  <c r="L147" i="1" s="1"/>
  <c r="J150" i="1"/>
  <c r="L150" i="1" s="1"/>
  <c r="N150" i="1" s="1"/>
  <c r="F150" i="1"/>
  <c r="D152" i="1"/>
  <c r="F147" i="1"/>
  <c r="D142" i="1"/>
  <c r="D143" i="1" s="1"/>
  <c r="E138" i="1"/>
  <c r="D138" i="1"/>
  <c r="D132" i="1"/>
  <c r="F130" i="1"/>
  <c r="J130" i="1"/>
  <c r="J108" i="1"/>
  <c r="L108" i="1" s="1"/>
  <c r="E110" i="1"/>
  <c r="F108" i="1"/>
  <c r="F107" i="1"/>
  <c r="J107" i="1"/>
  <c r="L107" i="1"/>
  <c r="D96" i="1"/>
  <c r="D97" i="1" s="1"/>
  <c r="D86" i="1"/>
  <c r="E84" i="1"/>
  <c r="D84" i="1"/>
  <c r="F80" i="1"/>
  <c r="F81" i="1"/>
  <c r="F82" i="1"/>
  <c r="F83" i="1"/>
  <c r="J80" i="1"/>
  <c r="L80" i="1" s="1"/>
  <c r="N80" i="1" s="1"/>
  <c r="J75" i="1"/>
  <c r="L75" i="1" s="1"/>
  <c r="N75" i="1" s="1"/>
  <c r="F75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6" i="1"/>
  <c r="J74" i="1"/>
  <c r="L74" i="1" s="1"/>
  <c r="N74" i="1" s="1"/>
  <c r="J73" i="1"/>
  <c r="L73" i="1" s="1"/>
  <c r="N73" i="1" s="1"/>
  <c r="J72" i="1"/>
  <c r="L72" i="1" s="1"/>
  <c r="N72" i="1" s="1"/>
  <c r="J71" i="1"/>
  <c r="L71" i="1" s="1"/>
  <c r="N71" i="1" s="1"/>
  <c r="J70" i="1"/>
  <c r="J67" i="1"/>
  <c r="L67" i="1" s="1"/>
  <c r="N67" i="1" s="1"/>
  <c r="J69" i="1"/>
  <c r="L69" i="1" s="1"/>
  <c r="N69" i="1" s="1"/>
  <c r="J68" i="1"/>
  <c r="L68" i="1" s="1"/>
  <c r="N68" i="1" s="1"/>
  <c r="J66" i="1"/>
  <c r="L66" i="1" s="1"/>
  <c r="N66" i="1" s="1"/>
  <c r="J65" i="1"/>
  <c r="L65" i="1" s="1"/>
  <c r="N65" i="1" s="1"/>
  <c r="D61" i="1"/>
  <c r="E58" i="1"/>
  <c r="D58" i="1"/>
  <c r="F57" i="1"/>
  <c r="J57" i="1"/>
  <c r="L57" i="1" s="1"/>
  <c r="N57" i="1" s="1"/>
  <c r="E52" i="1"/>
  <c r="D52" i="1"/>
  <c r="J51" i="1"/>
  <c r="L51" i="1" s="1"/>
  <c r="N51" i="1" s="1"/>
  <c r="F50" i="1"/>
  <c r="F51" i="1"/>
  <c r="E47" i="1"/>
  <c r="D47" i="1"/>
  <c r="J60" i="1"/>
  <c r="L60" i="1" s="1"/>
  <c r="F60" i="1"/>
  <c r="D60" i="1"/>
  <c r="D77" i="1" s="1"/>
  <c r="D36" i="1"/>
  <c r="F36" i="1" s="1"/>
  <c r="D26" i="1"/>
  <c r="F26" i="1" s="1"/>
  <c r="D35" i="1"/>
  <c r="F35" i="1" s="1"/>
  <c r="D32" i="1"/>
  <c r="D31" i="1"/>
  <c r="D29" i="1"/>
  <c r="D28" i="1"/>
  <c r="D16" i="1"/>
  <c r="D20" i="1"/>
  <c r="D19" i="1"/>
  <c r="J158" i="1"/>
  <c r="L158" i="1" s="1"/>
  <c r="E193" i="1" l="1"/>
  <c r="L130" i="1"/>
  <c r="N130" i="1" s="1"/>
  <c r="F61" i="1"/>
  <c r="F77" i="1" s="1"/>
  <c r="L70" i="1"/>
  <c r="N70" i="1" s="1"/>
  <c r="E122" i="1"/>
  <c r="D122" i="1"/>
  <c r="E118" i="1"/>
  <c r="D118" i="1"/>
  <c r="E102" i="1"/>
  <c r="D102" i="1"/>
  <c r="E88" i="1"/>
  <c r="J36" i="1" l="1"/>
  <c r="L36" i="1" s="1"/>
  <c r="N36" i="1" s="1"/>
  <c r="J131" i="1"/>
  <c r="L131" i="1" s="1"/>
  <c r="J142" i="1"/>
  <c r="L142" i="1" s="1"/>
  <c r="J157" i="1"/>
  <c r="L157" i="1" s="1"/>
  <c r="N157" i="1" s="1"/>
  <c r="J169" i="1"/>
  <c r="L169" i="1" s="1"/>
  <c r="J184" i="1"/>
  <c r="L184" i="1" s="1"/>
  <c r="J129" i="1"/>
  <c r="L129" i="1" s="1"/>
  <c r="J141" i="1"/>
  <c r="L141" i="1" s="1"/>
  <c r="J76" i="1"/>
  <c r="L76" i="1" s="1"/>
  <c r="L186" i="1"/>
  <c r="N186" i="1" s="1"/>
  <c r="L187" i="1"/>
  <c r="N187" i="1" s="1"/>
  <c r="J186" i="1"/>
  <c r="J187" i="1"/>
  <c r="F186" i="1"/>
  <c r="F187" i="1"/>
  <c r="F174" i="1"/>
  <c r="L185" i="1"/>
  <c r="N185" i="1" s="1"/>
  <c r="J185" i="1"/>
  <c r="J182" i="1"/>
  <c r="J191" i="1"/>
  <c r="L191" i="1" s="1"/>
  <c r="J81" i="1"/>
  <c r="L81" i="1" s="1"/>
  <c r="N81" i="1" s="1"/>
  <c r="J181" i="1"/>
  <c r="L181" i="1" s="1"/>
  <c r="N181" i="1" s="1"/>
  <c r="D181" i="1"/>
  <c r="D192" i="1" s="1"/>
  <c r="D193" i="1" s="1"/>
  <c r="J180" i="1" l="1"/>
  <c r="L180" i="1" s="1"/>
  <c r="J63" i="1"/>
  <c r="J179" i="1"/>
  <c r="L179" i="1" s="1"/>
  <c r="J151" i="1"/>
  <c r="L151" i="1" s="1"/>
  <c r="N151" i="1" s="1"/>
  <c r="J145" i="1"/>
  <c r="L145" i="1" s="1"/>
  <c r="N145" i="1" s="1"/>
  <c r="J146" i="1"/>
  <c r="L146" i="1" s="1"/>
  <c r="N146" i="1" s="1"/>
  <c r="J161" i="1"/>
  <c r="L161" i="1" s="1"/>
  <c r="J164" i="1"/>
  <c r="L164" i="1" s="1"/>
  <c r="N164" i="1" s="1"/>
  <c r="L154" i="1"/>
  <c r="J154" i="1"/>
  <c r="J136" i="1"/>
  <c r="L136" i="1" s="1"/>
  <c r="J137" i="1"/>
  <c r="L137" i="1" s="1"/>
  <c r="J134" i="1"/>
  <c r="L134" i="1" s="1"/>
  <c r="J135" i="1"/>
  <c r="L135" i="1" s="1"/>
  <c r="J113" i="1"/>
  <c r="L113" i="1" s="1"/>
  <c r="J115" i="1"/>
  <c r="L115" i="1" s="1"/>
  <c r="N115" i="1" s="1"/>
  <c r="J117" i="1"/>
  <c r="L117" i="1" s="1"/>
  <c r="N117" i="1" s="1"/>
  <c r="J112" i="1"/>
  <c r="L112" i="1" s="1"/>
  <c r="J127" i="1"/>
  <c r="L127" i="1" s="1"/>
  <c r="J124" i="1"/>
  <c r="L124" i="1" s="1"/>
  <c r="J121" i="1"/>
  <c r="L121" i="1" s="1"/>
  <c r="J120" i="1"/>
  <c r="L120" i="1" s="1"/>
  <c r="J109" i="1"/>
  <c r="J106" i="1"/>
  <c r="L106" i="1" s="1"/>
  <c r="D106" i="1"/>
  <c r="D110" i="1" s="1"/>
  <c r="F106" i="1"/>
  <c r="J105" i="1"/>
  <c r="L105" i="1" s="1"/>
  <c r="J104" i="1"/>
  <c r="L104" i="1" s="1"/>
  <c r="J96" i="1"/>
  <c r="L96" i="1" s="1"/>
  <c r="J94" i="1"/>
  <c r="L94" i="1" s="1"/>
  <c r="J91" i="1"/>
  <c r="L91" i="1" s="1"/>
  <c r="J90" i="1"/>
  <c r="L90" i="1" s="1"/>
  <c r="F90" i="1"/>
  <c r="J87" i="1"/>
  <c r="L87" i="1" s="1"/>
  <c r="N87" i="1" s="1"/>
  <c r="J86" i="1"/>
  <c r="L86" i="1" s="1"/>
  <c r="N86" i="1" s="1"/>
  <c r="D87" i="1"/>
  <c r="F86" i="1"/>
  <c r="J79" i="1"/>
  <c r="L79" i="1" s="1"/>
  <c r="N79" i="1" s="1"/>
  <c r="D88" i="1" l="1"/>
  <c r="J62" i="1"/>
  <c r="L62" i="1" s="1"/>
  <c r="J61" i="1"/>
  <c r="L61" i="1" s="1"/>
  <c r="J83" i="1"/>
  <c r="L83" i="1" s="1"/>
  <c r="J56" i="1"/>
  <c r="F56" i="1"/>
  <c r="J55" i="1"/>
  <c r="L55" i="1" s="1"/>
  <c r="J54" i="1"/>
  <c r="L54" i="1" s="1"/>
  <c r="N54" i="1" s="1"/>
  <c r="J50" i="1"/>
  <c r="L50" i="1" s="1"/>
  <c r="J49" i="1"/>
  <c r="L49" i="1" s="1"/>
  <c r="J46" i="1"/>
  <c r="L46" i="1" s="1"/>
  <c r="J45" i="1"/>
  <c r="L45" i="1" s="1"/>
  <c r="J39" i="1"/>
  <c r="L39" i="1" s="1"/>
  <c r="J35" i="1"/>
  <c r="L35" i="1" s="1"/>
  <c r="N35" i="1" s="1"/>
  <c r="J30" i="1"/>
  <c r="L30" i="1" s="1"/>
  <c r="N30" i="1" s="1"/>
  <c r="J32" i="1"/>
  <c r="L32" i="1" s="1"/>
  <c r="N32" i="1" s="1"/>
  <c r="J28" i="1"/>
  <c r="J31" i="1"/>
  <c r="L31" i="1" s="1"/>
  <c r="N31" i="1" s="1"/>
  <c r="J34" i="1"/>
  <c r="L34" i="1" s="1"/>
  <c r="N34" i="1" s="1"/>
  <c r="J33" i="1"/>
  <c r="L33" i="1" s="1"/>
  <c r="N33" i="1" s="1"/>
  <c r="J26" i="1"/>
  <c r="L26" i="1" s="1"/>
  <c r="N26" i="1" s="1"/>
  <c r="J25" i="1"/>
  <c r="L25" i="1"/>
  <c r="N25" i="1" s="1"/>
  <c r="D25" i="1"/>
  <c r="F25" i="1" s="1"/>
  <c r="D34" i="1"/>
  <c r="F34" i="1" s="1"/>
  <c r="D33" i="1"/>
  <c r="F33" i="1" s="1"/>
  <c r="F32" i="1"/>
  <c r="D30" i="1"/>
  <c r="J29" i="1"/>
  <c r="L29" i="1" s="1"/>
  <c r="J27" i="1"/>
  <c r="L27" i="1" s="1"/>
  <c r="J24" i="1"/>
  <c r="L24" i="1" s="1"/>
  <c r="D24" i="1"/>
  <c r="J23" i="1"/>
  <c r="L23" i="1" s="1"/>
  <c r="N23" i="1" s="1"/>
  <c r="D23" i="1"/>
  <c r="I20" i="1"/>
  <c r="J20" i="1" s="1"/>
  <c r="L20" i="1" s="1"/>
  <c r="D22" i="1"/>
  <c r="D21" i="1"/>
  <c r="J19" i="1"/>
  <c r="L19" i="1" s="1"/>
  <c r="N19" i="1" s="1"/>
  <c r="D18" i="1"/>
  <c r="F18" i="1" s="1"/>
  <c r="J18" i="1"/>
  <c r="L18" i="1" s="1"/>
  <c r="N18" i="1" s="1"/>
  <c r="D17" i="1"/>
  <c r="J17" i="1"/>
  <c r="L17" i="1" s="1"/>
  <c r="N17" i="1" s="1"/>
  <c r="J16" i="1"/>
  <c r="L16" i="1" s="1"/>
  <c r="D37" i="1" l="1"/>
  <c r="L56" i="1"/>
  <c r="N56" i="1" s="1"/>
  <c r="J22" i="1"/>
  <c r="L22" i="1" s="1"/>
  <c r="N22" i="1" s="1"/>
  <c r="J21" i="1"/>
  <c r="L21" i="1" s="1"/>
  <c r="N21" i="1" s="1"/>
  <c r="F27" i="1" l="1"/>
  <c r="E152" i="1" l="1"/>
  <c r="F22" i="1" l="1"/>
  <c r="D92" i="1" l="1"/>
  <c r="E165" i="1"/>
  <c r="D165" i="1"/>
  <c r="D162" i="1"/>
  <c r="E155" i="1"/>
  <c r="D155" i="1"/>
  <c r="E125" i="1"/>
  <c r="D125" i="1"/>
  <c r="E92" i="1"/>
  <c r="E43" i="1"/>
  <c r="E40" i="1"/>
  <c r="D40" i="1"/>
  <c r="A180" i="1"/>
  <c r="A182" i="1" s="1"/>
  <c r="A120" i="1"/>
  <c r="A121" i="1" s="1"/>
  <c r="A124" i="1" s="1"/>
  <c r="A136" i="1" s="1"/>
  <c r="A137" i="1" s="1"/>
  <c r="A141" i="1" s="1"/>
  <c r="A142" i="1" s="1"/>
  <c r="A145" i="1" s="1"/>
  <c r="A154" i="1" s="1"/>
  <c r="A64" i="1"/>
  <c r="L63" i="1"/>
  <c r="N63" i="1" s="1"/>
  <c r="L109" i="1"/>
  <c r="F109" i="1"/>
  <c r="J42" i="1"/>
  <c r="L42" i="1" s="1"/>
  <c r="D43" i="1"/>
  <c r="A94" i="1"/>
  <c r="A104" i="1" s="1"/>
  <c r="A105" i="1" s="1"/>
  <c r="D159" i="1"/>
  <c r="D166" i="1" l="1"/>
  <c r="D194" i="1" s="1"/>
  <c r="F42" i="1"/>
  <c r="F91" i="1"/>
  <c r="N191" i="1"/>
  <c r="F191" i="1"/>
  <c r="J188" i="1"/>
  <c r="F188" i="1"/>
  <c r="N184" i="1"/>
  <c r="F184" i="1"/>
  <c r="L182" i="1"/>
  <c r="N182" i="1" s="1"/>
  <c r="F182" i="1"/>
  <c r="F181" i="1"/>
  <c r="N180" i="1"/>
  <c r="N179" i="1"/>
  <c r="F179" i="1"/>
  <c r="L175" i="1"/>
  <c r="N175" i="1" s="1"/>
  <c r="F175" i="1"/>
  <c r="N169" i="1"/>
  <c r="F164" i="1"/>
  <c r="F185" i="1"/>
  <c r="F117" i="1"/>
  <c r="N161" i="1"/>
  <c r="E162" i="1"/>
  <c r="F157" i="1"/>
  <c r="F154" i="1"/>
  <c r="F151" i="1"/>
  <c r="F146" i="1"/>
  <c r="F145" i="1"/>
  <c r="F142" i="1"/>
  <c r="F141" i="1"/>
  <c r="J140" i="1"/>
  <c r="L140" i="1" s="1"/>
  <c r="F140" i="1"/>
  <c r="F137" i="1"/>
  <c r="F136" i="1"/>
  <c r="N135" i="1"/>
  <c r="F135" i="1"/>
  <c r="N134" i="1"/>
  <c r="F134" i="1"/>
  <c r="N131" i="1"/>
  <c r="F131" i="1"/>
  <c r="N129" i="1"/>
  <c r="F129" i="1"/>
  <c r="J128" i="1"/>
  <c r="L128" i="1" s="1"/>
  <c r="F128" i="1"/>
  <c r="F127" i="1"/>
  <c r="F124" i="1"/>
  <c r="F121" i="1"/>
  <c r="F120" i="1"/>
  <c r="F115" i="1"/>
  <c r="F112" i="1"/>
  <c r="F105" i="1"/>
  <c r="F104" i="1"/>
  <c r="F110" i="1" s="1"/>
  <c r="L101" i="1"/>
  <c r="F101" i="1"/>
  <c r="L100" i="1"/>
  <c r="F100" i="1"/>
  <c r="J99" i="1"/>
  <c r="L99" i="1" s="1"/>
  <c r="F99" i="1"/>
  <c r="F96" i="1"/>
  <c r="F94" i="1"/>
  <c r="N83" i="1"/>
  <c r="F79" i="1"/>
  <c r="F84" i="1" s="1"/>
  <c r="N76" i="1"/>
  <c r="J64" i="1"/>
  <c r="L64" i="1" s="1"/>
  <c r="N64" i="1" s="1"/>
  <c r="N61" i="1"/>
  <c r="N55" i="1"/>
  <c r="F55" i="1"/>
  <c r="F54" i="1"/>
  <c r="F58" i="1" s="1"/>
  <c r="N50" i="1"/>
  <c r="N49" i="1"/>
  <c r="F49" i="1"/>
  <c r="F52" i="1" s="1"/>
  <c r="N46" i="1"/>
  <c r="F46" i="1"/>
  <c r="N45" i="1"/>
  <c r="F45" i="1"/>
  <c r="N42" i="1"/>
  <c r="N39" i="1"/>
  <c r="F39" i="1"/>
  <c r="F40" i="1" s="1"/>
  <c r="F31" i="1"/>
  <c r="F30" i="1"/>
  <c r="N29" i="1"/>
  <c r="F29" i="1"/>
  <c r="F28" i="1"/>
  <c r="N27" i="1"/>
  <c r="N24" i="1"/>
  <c r="F24" i="1"/>
  <c r="F23" i="1"/>
  <c r="F21" i="1"/>
  <c r="N20" i="1"/>
  <c r="F20" i="1"/>
  <c r="F19" i="1"/>
  <c r="N16" i="1"/>
  <c r="F16" i="1"/>
  <c r="F132" i="1" l="1"/>
  <c r="F138" i="1"/>
  <c r="F143" i="1"/>
  <c r="F97" i="1"/>
  <c r="F192" i="1"/>
  <c r="F47" i="1"/>
  <c r="F122" i="1"/>
  <c r="F102" i="1"/>
  <c r="L188" i="1"/>
  <c r="N188" i="1" s="1"/>
  <c r="L28" i="1"/>
  <c r="N28" i="1" s="1"/>
  <c r="F92" i="1"/>
  <c r="F152" i="1"/>
  <c r="F43" i="1"/>
  <c r="F155" i="1"/>
  <c r="F165" i="1"/>
  <c r="F113" i="1"/>
  <c r="F118" i="1" s="1"/>
  <c r="F158" i="1"/>
  <c r="E159" i="1"/>
  <c r="E166" i="1" s="1"/>
  <c r="E194" i="1" s="1"/>
  <c r="F125" i="1"/>
  <c r="F173" i="1"/>
  <c r="F177" i="1" s="1"/>
  <c r="F87" i="1"/>
  <c r="F88" i="1" s="1"/>
  <c r="F161" i="1"/>
  <c r="F162" i="1" s="1"/>
  <c r="F193" i="1" l="1"/>
  <c r="F159" i="1"/>
  <c r="F17" i="1" l="1"/>
  <c r="F37" i="1" l="1"/>
  <c r="F166" i="1" s="1"/>
  <c r="F194" i="1" s="1"/>
</calcChain>
</file>

<file path=xl/sharedStrings.xml><?xml version="1.0" encoding="utf-8"?>
<sst xmlns="http://schemas.openxmlformats.org/spreadsheetml/2006/main" count="697" uniqueCount="231">
  <si>
    <t>SOCIETE NATIONALE DE GESTION DU STOCK</t>
  </si>
  <si>
    <t>DE SECURITE ALIMENATIRE (SONAGESS)</t>
  </si>
  <si>
    <t>DIRECTION GENERALE</t>
  </si>
  <si>
    <t>DIRECTION DES MARCHES PUBLICS</t>
  </si>
  <si>
    <t xml:space="preserve">                                                                      PLAN DE PASSATION DES MARCHES  2024 REVISE  DE LA SONAGESS</t>
  </si>
  <si>
    <t>N° ORDRE</t>
  </si>
  <si>
    <t>Imputation Budgétaire</t>
  </si>
  <si>
    <t>Source de financement</t>
  </si>
  <si>
    <t>Montant estimé de l'inscription</t>
  </si>
  <si>
    <t xml:space="preserve">Credit disponible
</t>
  </si>
  <si>
    <t>Nature des prestations</t>
  </si>
  <si>
    <t>Mode de passation</t>
  </si>
  <si>
    <t>Date prévisionnelle lancement de l'appel à concurrence</t>
  </si>
  <si>
    <t>Date prévisionnelle de remise des offres/propo-sitions</t>
  </si>
  <si>
    <t>Temps nécessaire pour l'évaluation des offres</t>
  </si>
  <si>
    <t>Date probable de démarrage des prestations</t>
  </si>
  <si>
    <t>Délai prévisionnel d'exécution en jours</t>
  </si>
  <si>
    <t>Date de fin de travaux ou livraison</t>
  </si>
  <si>
    <t>Le gestionnaire de crédit</t>
  </si>
  <si>
    <t>1 DEPENSES DE FONCTIONNEMENT</t>
  </si>
  <si>
    <t>601 ACHAT DE PRODUITS MARCHANDS</t>
  </si>
  <si>
    <t>Budget SONAGESS</t>
  </si>
  <si>
    <t>1 jour</t>
  </si>
  <si>
    <t>DFC</t>
  </si>
  <si>
    <t>SOUS TOTAL</t>
  </si>
  <si>
    <t>604 MATIERES ET FOUNITURES CONSOMMABLES</t>
  </si>
  <si>
    <t>Acquisition d'encre pour copieurs et   pour  imprimantes</t>
  </si>
  <si>
    <t>6042 ACHAT DE MATIERES COMBUSTIBLE</t>
  </si>
  <si>
    <t>Achat produits d'entretien et de nettoyage</t>
  </si>
  <si>
    <t>6055 FOURNITURES DE BUREAU NON STOCKABLES</t>
  </si>
  <si>
    <t>Acquisition d'imprimés</t>
  </si>
  <si>
    <t>Acquisition fournitures de bureau</t>
  </si>
  <si>
    <t>6056 PETITS MATERIELS - OUTILLAGES</t>
  </si>
  <si>
    <t>6057 ACHATS D'ETUDES ET PRESTATION DE SERVICES</t>
  </si>
  <si>
    <t>Production de prêt à diffuser (PAD)</t>
  </si>
  <si>
    <t>6058 ACHAT DE TRAVAUX, MATERIEL ET EQUIPEMENT</t>
  </si>
  <si>
    <t>608 ACHAT D'EMBALLAGES</t>
  </si>
  <si>
    <t>612 TRANSPORT</t>
  </si>
  <si>
    <t xml:space="preserve">Transport céréales </t>
  </si>
  <si>
    <t xml:space="preserve">622 LOCATION DE  MAGASINS-SALLE </t>
  </si>
  <si>
    <t>Location de salles pour réunion Koudougou,Ziniaré, Bobo</t>
  </si>
  <si>
    <t xml:space="preserve">Location de magasins de stockage </t>
  </si>
  <si>
    <t>Nettoyage des bureaux (siège et centres) et sites</t>
  </si>
  <si>
    <t xml:space="preserve">Entretien et réparation des climatiseurs  </t>
  </si>
  <si>
    <t>Maintenance des installations électriques , plomberie et étancheité</t>
  </si>
  <si>
    <t>6241 ENTRETIEN ET REPARATION DE MATERIELS ET MOBILIERS DE BUREAU</t>
  </si>
  <si>
    <t>Entretien, réparation photocopieuses</t>
  </si>
  <si>
    <t>Entretien, réparation matériel et mobiliers de bureau</t>
  </si>
  <si>
    <t xml:space="preserve">Entretien et reparation de groupe électrogène </t>
  </si>
  <si>
    <t>6242 ENTRETIEN ET REPARATION DE VEHICULES</t>
  </si>
  <si>
    <t> 62424620</t>
  </si>
  <si>
    <t>Diagnostic et Visite technique CCVA</t>
  </si>
  <si>
    <t> 62424600</t>
  </si>
  <si>
    <t>Lot 1: Entretien et reparation de parc léger</t>
  </si>
  <si>
    <t>Lot2: Entretien et reparation du parc lourd</t>
  </si>
  <si>
    <t> 62424610</t>
  </si>
  <si>
    <t>625 ASSURANCE AUTOMOBILES ET BATIMENTS</t>
  </si>
  <si>
    <t>Assurance du matériel roulant</t>
  </si>
  <si>
    <t>Assurance magasins et stocks</t>
  </si>
  <si>
    <t xml:space="preserve">626 ETUDES - RECHERCHES- DOCUMENTATIONS </t>
  </si>
  <si>
    <t xml:space="preserve">Abonnement revues d'information et TV </t>
  </si>
  <si>
    <t>627  PUBLICITE- PUBLICATION- RELATION PUBLIQUES</t>
  </si>
  <si>
    <t>Diffusion hebdomadaire des prix des produits agricoles</t>
  </si>
  <si>
    <t>Couverture médiatique des activités et évenements</t>
  </si>
  <si>
    <t xml:space="preserve">Conception et production d'outils de communication institutionnelle </t>
  </si>
  <si>
    <t>628 TELECOMMUNICATION</t>
  </si>
  <si>
    <t>Location de services ANPTIC  (abonnement annuel)</t>
  </si>
  <si>
    <t>Hebergement mails et site web de la SONAGESS</t>
  </si>
  <si>
    <t>6324 ASSISTANCE ET CONSEIL</t>
  </si>
  <si>
    <t>Assistance Juridique (avocat)</t>
  </si>
  <si>
    <t xml:space="preserve">Consultation de consultants </t>
  </si>
  <si>
    <t xml:space="preserve">6343 REDEVANCES-LICENCES </t>
  </si>
  <si>
    <t xml:space="preserve">Acquisition d'antivirus </t>
  </si>
  <si>
    <t>Renouvellement de l"abonnement logiciel sage compta et paie</t>
  </si>
  <si>
    <t>63 FRAIS DE GARDIENNAGE</t>
  </si>
  <si>
    <t xml:space="preserve">Gardiennage de la société </t>
  </si>
  <si>
    <t>63 AUTRES CHARGES EXTERNES</t>
  </si>
  <si>
    <t>65 DONS</t>
  </si>
  <si>
    <t>Acquisition de Panier alimentaire pour le personnel</t>
  </si>
  <si>
    <t>66 AUTRES CHARGES SOCIALES</t>
  </si>
  <si>
    <t>Assurances santé</t>
  </si>
  <si>
    <t>TOTAL FONCTIONNEMENT</t>
  </si>
  <si>
    <t>2 DEPENSES D'INVESTISSEMENT</t>
  </si>
  <si>
    <t>213 LOGICIEL</t>
  </si>
  <si>
    <t>23 OUVRAGE  ET INFRASTRUCTURE</t>
  </si>
  <si>
    <t>Acquisition de materiels de bureau</t>
  </si>
  <si>
    <t>TOTAL INVESTISSEMENT</t>
  </si>
  <si>
    <t>TOTAL FONC+INVEST</t>
  </si>
  <si>
    <t>3 jours</t>
  </si>
  <si>
    <t>Entretien et reparation de materiel phyto et de protection</t>
  </si>
  <si>
    <t>Acquisition de 1 500 cartons de Sucre de 25 paquets de 1 kg</t>
  </si>
  <si>
    <t xml:space="preserve">                                              BURKINA FASO</t>
  </si>
  <si>
    <t>Unité-Progrès-Justice</t>
  </si>
  <si>
    <t xml:space="preserve">                                                                                    Ouagadougou le </t>
  </si>
  <si>
    <t xml:space="preserve">                   *-*-*-*</t>
  </si>
  <si>
    <t xml:space="preserve">                                 Le Directeur Général</t>
  </si>
  <si>
    <t xml:space="preserve">    Le Directeur des Marchés Publics</t>
  </si>
  <si>
    <t>montant engagé</t>
  </si>
  <si>
    <r>
      <rPr>
        <b/>
        <sz val="16"/>
        <rFont val="Bookman Old Style"/>
        <family val="1"/>
      </rPr>
      <t xml:space="preserve">                          </t>
    </r>
    <r>
      <rPr>
        <b/>
        <u/>
        <sz val="20"/>
        <rFont val="Bookman Old Style"/>
        <family val="1"/>
      </rPr>
      <t>Stéphane Gildas TIENDREBEOGO</t>
    </r>
    <r>
      <rPr>
        <b/>
        <sz val="20"/>
        <rFont val="Bookman Old Style"/>
        <family val="1"/>
      </rPr>
      <t xml:space="preserve">
</t>
    </r>
    <r>
      <rPr>
        <b/>
        <sz val="12"/>
        <rFont val="Bookman Old Style"/>
        <family val="1"/>
      </rPr>
      <t xml:space="preserve"> </t>
    </r>
    <r>
      <rPr>
        <b/>
        <sz val="20"/>
        <rFont val="Bookman Old Style"/>
        <family val="1"/>
      </rPr>
      <t xml:space="preserve">                                                                                      </t>
    </r>
  </si>
  <si>
    <r>
      <t xml:space="preserve">        </t>
    </r>
    <r>
      <rPr>
        <b/>
        <u/>
        <sz val="20"/>
        <rFont val="Bookman Old Style"/>
        <family val="1"/>
      </rPr>
      <t>Abdou Abach OUEDRAOGO</t>
    </r>
    <r>
      <rPr>
        <b/>
        <sz val="20"/>
        <rFont val="Bookman Old Style"/>
        <family val="1"/>
      </rPr>
      <t xml:space="preserve">
   </t>
    </r>
    <r>
      <rPr>
        <sz val="16"/>
        <rFont val="Arial"/>
        <family val="2"/>
      </rPr>
      <t>Chevalier de l'Ordre National</t>
    </r>
    <r>
      <rPr>
        <b/>
        <sz val="16"/>
        <rFont val="Bookman Old Style"/>
        <family val="1"/>
      </rPr>
      <t xml:space="preserve">    </t>
    </r>
    <r>
      <rPr>
        <b/>
        <sz val="20"/>
        <rFont val="Bookman Old Style"/>
        <family val="1"/>
      </rPr>
      <t xml:space="preserve">                                                            </t>
    </r>
  </si>
  <si>
    <t xml:space="preserve"> Acquisition de 20 000 tonnes de maïs de qualité A en 15 lots
 </t>
  </si>
  <si>
    <t>Entente directe (Arreté 2023-461) prestations specifiques (marchés à commande)</t>
  </si>
  <si>
    <t xml:space="preserve"> Acquisition de 15 000 tonnes de maïs de qualité B en 15 lots
 </t>
  </si>
  <si>
    <t xml:space="preserve">Acquisition de 8 500 tonnes de sorgho en 07 lots 
</t>
  </si>
  <si>
    <t xml:space="preserve">Acquisition de 1 500 tonnes de mil en 05 lots
</t>
  </si>
  <si>
    <t>Acquisition de 20 000 tonnes de niébé en 15 lots</t>
  </si>
  <si>
    <t>Acquisition de 500 tonnes de soja en 15 lots</t>
  </si>
  <si>
    <t>Acquisition de 200 tonnes de blé en 05 lots</t>
  </si>
  <si>
    <t>Acquisition de 100 tonnes de sésame en 05 lots</t>
  </si>
  <si>
    <t>Appel d'offres ouvert</t>
  </si>
  <si>
    <t>Acquisition 2 500 tonnes de noix brut d'acajou en 05 lots</t>
  </si>
  <si>
    <t>Acqusition de 4 150  cartons de café instantané de 24 sachets de 100g</t>
  </si>
  <si>
    <t>Appel d'offres ouvert
(Marchés à commandes)</t>
  </si>
  <si>
    <t xml:space="preserve">Acquisition d'igname </t>
  </si>
  <si>
    <t xml:space="preserve">Acquisition de produits phytosanitaires </t>
  </si>
  <si>
    <t>acquisition de petits matériels et outillages pour véhicules (caisses à outils, pompes à graisse, etc)</t>
  </si>
  <si>
    <t xml:space="preserve"> Demande de cotations formelle</t>
  </si>
  <si>
    <t>Demande de cotations formelle</t>
  </si>
  <si>
    <t>Demande de cotations à OC</t>
  </si>
  <si>
    <t>Demande de cotations non formelle</t>
  </si>
  <si>
    <t>Demande de cotations formelle à OC</t>
  </si>
  <si>
    <t xml:space="preserve"> Demande de prix</t>
  </si>
  <si>
    <t>Acquisition de d'emballages (100.000 sacs en PP)</t>
  </si>
  <si>
    <t>Demande de cotations à OC (recoduction)</t>
  </si>
  <si>
    <t>Lot1: Acquisition de pneus</t>
  </si>
  <si>
    <t>Lot 2: Acquisition de batteries</t>
  </si>
  <si>
    <t>Confection et pose de carrosserie</t>
  </si>
  <si>
    <t>Confection de 5 000  boudins</t>
  </si>
  <si>
    <t>Demande de prix</t>
  </si>
  <si>
    <t>Assurer l'acquisition de vanneuse de grande capacité</t>
  </si>
  <si>
    <t>1 our</t>
  </si>
  <si>
    <t>Acquisition de Matériel  informatique</t>
  </si>
  <si>
    <t xml:space="preserve">Acquisition de 4 890 sacs de 25 kg d'attiéké déshydraté 
</t>
  </si>
  <si>
    <t>Acquisition de 500 tonnes de graines de coton en 03 lots</t>
  </si>
  <si>
    <t>6043 ACHAT DE PRODUITS ENTRETIEN</t>
  </si>
  <si>
    <t>Acquisition fournitures de bureau/PAM/SIM</t>
  </si>
  <si>
    <t>Tirage de l'annuaire des prix 2024 des données  - SIM</t>
  </si>
  <si>
    <t>Elaboration d'un manuel de conservation des stocks avec formation des acteurs</t>
  </si>
  <si>
    <t>DPRO/MI</t>
  </si>
  <si>
    <t>Appui pour production agricole : Bagré-pole</t>
  </si>
  <si>
    <t>Elaboration d'un manuel de suivi évaluation</t>
  </si>
  <si>
    <t>Audit Diagnostic et de conformité de la démarche qualité</t>
  </si>
  <si>
    <t>DPRO Allegée</t>
  </si>
  <si>
    <t>Vérification des appareils de mesure par ABNORM</t>
  </si>
  <si>
    <t>Destruction des pesticides et réactifs obsolètes SAPHYTO</t>
  </si>
  <si>
    <t>Elaboration d'un plan de continuité des activités</t>
  </si>
  <si>
    <t>Elaboration d'un tableau de bord RH</t>
  </si>
  <si>
    <t>Actualisation du manuel des procédures de la société</t>
  </si>
  <si>
    <t>60584610 </t>
  </si>
  <si>
    <t>Acquisition de matériel de laboratoire</t>
  </si>
  <si>
    <t>624 ENTRETIEN ET MAINTENANCE DE BATIMENTS</t>
  </si>
  <si>
    <t>Entretien et maintenance informatique et électronique</t>
  </si>
  <si>
    <t xml:space="preserve">Demande de cotations à OC </t>
  </si>
  <si>
    <t>Confection et pose de pictogramme CSST</t>
  </si>
  <si>
    <t>Acquisition de VPN Dynamique</t>
  </si>
  <si>
    <t xml:space="preserve">Acquisition  de licencesprofessionnelle zoom et Anydesk </t>
  </si>
  <si>
    <t>Mise à jour et support annuel du logiciel SIM</t>
  </si>
  <si>
    <t>Acquisition de licences Office 365 business premium</t>
  </si>
  <si>
    <t>Développement de Logiciel de gestion des ventes des vitrines et de gestion commerciale</t>
  </si>
  <si>
    <t>Acquisition de mobiliers de bureau</t>
  </si>
  <si>
    <t>Acquisition de deux (02) camion de 40 tonnes</t>
  </si>
  <si>
    <t>Acquisition d'un (01) muni Bus de 70 places</t>
  </si>
  <si>
    <t>Acquisition 58 000 boites de lait de 800 g (lot 1) et 13 150 cartons de 400g (lot 2)</t>
  </si>
  <si>
    <t xml:space="preserve">Acquisition de 13 500 cartons de 10 Kg  (lot 1) et 39 416 cartons de 8 Kg (lot 2) de pâte alimentaire </t>
  </si>
  <si>
    <t>Acquistion de 100 000 bidons d'huile végétale de 20L (lot 1) et 8 400 bidons d'huile de 5L (lot 2)</t>
  </si>
  <si>
    <t xml:space="preserve">Acquisition de 13 585 cartons de 50 boites  de 125 g (lot 1) et  de  14 200 cartons d de 50 boites de 125 g  Sardine (lot 2)
</t>
  </si>
  <si>
    <t xml:space="preserve">Acquisition de  3 205 cartons tomates de 6  boites de 2 200g </t>
  </si>
  <si>
    <t xml:space="preserve">Acquisition de 8 250 cartons de 24 paquets de 50g de thé instantané 
</t>
  </si>
  <si>
    <t>Mouture de maïs pour  la farine et la semoule</t>
  </si>
  <si>
    <t>Achat de carburant et lubrifiant</t>
  </si>
  <si>
    <t xml:space="preserve"> demande de cotations   non formelle</t>
  </si>
  <si>
    <t xml:space="preserve"> Consultation de consultants</t>
  </si>
  <si>
    <t>Renouvellement de cartes jaunes</t>
  </si>
  <si>
    <t>Suivi contrôle des travaux de construction d'infrastructures en 4 lots</t>
  </si>
  <si>
    <t>Actualisation du schéma directeur informatique de la société</t>
  </si>
  <si>
    <t xml:space="preserve"> Travaux de reproduction des documents</t>
  </si>
  <si>
    <t>Acquisition de 20 000 sachets plastiques de 5 Kg</t>
  </si>
  <si>
    <t>Acquisition de titres de voyage</t>
  </si>
  <si>
    <t xml:space="preserve">Location de stands </t>
  </si>
  <si>
    <t>Entretien des extincteurs</t>
  </si>
  <si>
    <t xml:space="preserve">Acquisition d'accès internet </t>
  </si>
  <si>
    <t>Mise à jour et support annuel du llogiciel de qualité</t>
  </si>
  <si>
    <t>Mise à jour et support annuel du logiciel des stocks et emballages</t>
  </si>
  <si>
    <t>Selection d'un cabinet pour recrutement du personnel</t>
  </si>
  <si>
    <t xml:space="preserve">Acquisition de pinces et de baches de traitement </t>
  </si>
  <si>
    <t>Acquisition de machines à coudre</t>
  </si>
  <si>
    <t>Acquisition de pallettes 1mx1m</t>
  </si>
  <si>
    <t>Acquisition de chariot élévateur</t>
  </si>
  <si>
    <t>Acquisition d'un (01) pick up</t>
  </si>
  <si>
    <t xml:space="preserve">Entente directe </t>
  </si>
  <si>
    <t xml:space="preserve"> Acquisition de 43 500 tonnes de riz  local en 50 lots
</t>
  </si>
  <si>
    <t>Entente directe (Arreté 2024-0587 prestations specifiques  _marchés à commandes)</t>
  </si>
  <si>
    <t>Entente directe (Arreté 2024-0587_prestations specifiques)</t>
  </si>
  <si>
    <t>Demande de cotations formelle (marché à commandes)</t>
  </si>
  <si>
    <t>Entente directeEntente directe (Arreté 2024-0587_prestations specifiques)</t>
  </si>
  <si>
    <t>Entente directe (Arreté 2023-461) prestations specifiques (marchés à commandes)</t>
  </si>
  <si>
    <t>Demande prix à commandes</t>
  </si>
  <si>
    <t xml:space="preserve">Demande prix à commandes </t>
  </si>
  <si>
    <t xml:space="preserve">Demande prix  à commandes </t>
  </si>
  <si>
    <t>Demande prix à commandes (reconduction)</t>
  </si>
  <si>
    <t>Budget PAM</t>
  </si>
  <si>
    <t>Acquisition d'outils d'hygiene (matériel de nettoyage) pour les centres</t>
  </si>
  <si>
    <t>Acquisition de matériel général de contrôle, de traitement et de stockage</t>
  </si>
  <si>
    <t>Acquisition de pièce pour matériels roulants</t>
  </si>
  <si>
    <t>Acquisition et mise en fonctionnement d'un dispositif de géolocalisation et de traçage de véhicules</t>
  </si>
  <si>
    <t>Réalisation d'études techniques de construction d'ouvrages et d'infrastructures</t>
  </si>
  <si>
    <t>Acquisition de matériel de travail et de protection</t>
  </si>
  <si>
    <t>Acquisition d'équipement de protection individuel (EPI)</t>
  </si>
  <si>
    <t xml:space="preserve"> Entente directe (Arreté 2024-0587_prestations specifiques)</t>
  </si>
  <si>
    <t>Demande de cotations formelle à OC (Reconduction)</t>
  </si>
  <si>
    <t xml:space="preserve">Confection de banderoles KR et de Tee shirts pour activité </t>
  </si>
  <si>
    <t xml:space="preserve"> Entente directe (Arreté 2024-0587_prestations specifiques) ANPTIC</t>
  </si>
  <si>
    <t>Frais d’analyse de laboratoire externe des céréales</t>
  </si>
  <si>
    <t xml:space="preserve"> Entente directe (Arreté 2024-0587_prestations specifiques) ANSSEAT</t>
  </si>
  <si>
    <t xml:space="preserve"> Entente directe (Arreté 2024-0587_prestations specifiques) </t>
  </si>
  <si>
    <t>Formation du personnel SONAGESS et administrateurs de la SONAGESS (inscription sur catalogue)</t>
  </si>
  <si>
    <t xml:space="preserve">Prestation de pause café et pause déjeuner pour les activités de la SONAGESS </t>
  </si>
  <si>
    <t>Réalisation de forages équipés</t>
  </si>
  <si>
    <t>Travaux de réalisation/réhabillitation de batiments administratifs en 04 lots</t>
  </si>
  <si>
    <t>Travaux de construction de magasins en 10 lots</t>
  </si>
  <si>
    <t>Travaux de  réhabilitation de magasins en 8 lots</t>
  </si>
  <si>
    <t>Travaux de construction de mur de clôture en 2 lots</t>
  </si>
  <si>
    <t>24 MATERIELS ET MOBILIERS DE BUREAU</t>
  </si>
  <si>
    <t>Appel Offre Restreint</t>
  </si>
  <si>
    <t xml:space="preserve"> Demande de cotations formelle (marché à commandes)</t>
  </si>
  <si>
    <t>Consultation de consultants</t>
  </si>
  <si>
    <t>Acquisition d'équipements phytosanitaires ( pulverisateur,atomisateur,aspirateur)</t>
  </si>
  <si>
    <t>Acquisition de matériel de transport (Moto de terrain 125 cc)</t>
  </si>
  <si>
    <t>Appel Offres Restreint</t>
  </si>
  <si>
    <t>Entente directe avec la RTB (Arreté 2024-0587_prestations specifiques)</t>
  </si>
  <si>
    <t xml:space="preserve"> PLAN DE PASSATION DES MARCHES 2025  DE LA SONAGESS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</si>
</sst>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€_-;\-* #,##0.00\ _€_-;_-* &quot;-&quot;??\ _€_-;_-@_-"/>
    <numFmt numFmtId="164" formatCode="_-* #,##0_-;\-* #,##0_-;_-* &quot;-&quot;_-;_-@_-"/>
    <numFmt numFmtId="165" formatCode="#,##0\ _€"/>
    <numFmt numFmtId="166" formatCode="_-* #,##0\ _€_-;\-* #,##0\ _€_-;_-* &quot;-&quot;??\ _€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name val="Elephant"/>
      <family val="1"/>
    </font>
    <font>
      <b/>
      <sz val="13"/>
      <name val="Arial"/>
      <family val="2"/>
    </font>
    <font>
      <sz val="13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1"/>
      <name val="Calibri"/>
      <family val="2"/>
      <scheme val="minor"/>
    </font>
    <font>
      <sz val="13"/>
      <name val="Calibri"/>
      <family val="2"/>
      <scheme val="minor"/>
    </font>
    <font>
      <sz val="11"/>
      <name val="Arial"/>
      <family val="2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3"/>
      <name val="Arial Narrow"/>
      <family val="2"/>
    </font>
    <font>
      <sz val="13"/>
      <name val="Arial Narrow"/>
      <family val="2"/>
    </font>
    <font>
      <sz val="20"/>
      <name val="Bookman Old Style"/>
      <family val="1"/>
    </font>
    <font>
      <sz val="20"/>
      <name val="Tahoma"/>
      <family val="2"/>
    </font>
    <font>
      <sz val="20"/>
      <name val="Calibri"/>
      <family val="2"/>
      <scheme val="minor"/>
    </font>
    <font>
      <b/>
      <sz val="20"/>
      <name val="Bookman Old Style"/>
      <family val="1"/>
    </font>
    <font>
      <b/>
      <sz val="16"/>
      <name val="Bookman Old Style"/>
      <family val="1"/>
    </font>
    <font>
      <b/>
      <sz val="12"/>
      <name val="Bookman Old Style"/>
      <family val="1"/>
    </font>
    <font>
      <b/>
      <u/>
      <sz val="20"/>
      <name val="Bookman Old Style"/>
      <family val="1"/>
    </font>
    <font>
      <sz val="16"/>
      <name val="Arial"/>
      <family val="2"/>
    </font>
    <font>
      <sz val="13"/>
      <color rgb="FFFF0000"/>
      <name val="Calibri"/>
      <family val="2"/>
      <scheme val="minor"/>
    </font>
    <font>
      <sz val="13"/>
      <color rgb="FFC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27">
    <xf numFmtId="0" fontId="0" fillId="0" borderId="0" xfId="0"/>
    <xf numFmtId="0" fontId="2" fillId="0" borderId="0" xfId="0" applyFont="1" applyAlignment="1">
      <alignment vertical="center"/>
    </xf>
    <xf numFmtId="0" fontId="4" fillId="4" borderId="1" xfId="0" applyFont="1" applyFill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165" fontId="3" fillId="2" borderId="1" xfId="1" applyNumberFormat="1" applyFont="1" applyFill="1" applyBorder="1" applyAlignment="1">
      <alignment horizontal="center" vertical="center" wrapText="1"/>
    </xf>
    <xf numFmtId="17" fontId="4" fillId="0" borderId="1" xfId="0" applyNumberFormat="1" applyFont="1" applyBorder="1" applyAlignment="1">
      <alignment horizontal="center" vertical="center"/>
    </xf>
    <xf numFmtId="165" fontId="4" fillId="4" borderId="1" xfId="1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165" fontId="5" fillId="0" borderId="1" xfId="1" applyNumberFormat="1" applyFont="1" applyFill="1" applyBorder="1" applyAlignment="1">
      <alignment horizontal="center" vertical="center" wrapText="1"/>
    </xf>
    <xf numFmtId="165" fontId="6" fillId="2" borderId="1" xfId="1" applyNumberFormat="1" applyFont="1" applyFill="1" applyBorder="1" applyAlignment="1">
      <alignment horizontal="center" vertical="center" wrapText="1"/>
    </xf>
    <xf numFmtId="166" fontId="5" fillId="2" borderId="1" xfId="1" applyNumberFormat="1" applyFont="1" applyFill="1" applyBorder="1" applyAlignment="1">
      <alignment horizontal="center" vertical="center" wrapText="1"/>
    </xf>
    <xf numFmtId="17" fontId="5" fillId="2" borderId="1" xfId="0" applyNumberFormat="1" applyFont="1" applyFill="1" applyBorder="1" applyAlignment="1">
      <alignment horizontal="center" vertical="center"/>
    </xf>
    <xf numFmtId="164" fontId="3" fillId="6" borderId="1" xfId="0" applyNumberFormat="1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165" fontId="3" fillId="2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/>
    <xf numFmtId="0" fontId="3" fillId="5" borderId="1" xfId="0" applyFont="1" applyFill="1" applyBorder="1" applyAlignment="1">
      <alignment horizontal="center"/>
    </xf>
    <xf numFmtId="165" fontId="3" fillId="5" borderId="1" xfId="0" applyNumberFormat="1" applyFont="1" applyFill="1" applyBorder="1" applyAlignment="1">
      <alignment horizontal="center" vertical="center" wrapText="1"/>
    </xf>
    <xf numFmtId="0" fontId="3" fillId="7" borderId="1" xfId="0" applyFont="1" applyFill="1" applyBorder="1"/>
    <xf numFmtId="0" fontId="3" fillId="7" borderId="1" xfId="0" applyFont="1" applyFill="1" applyBorder="1" applyAlignment="1">
      <alignment horizontal="center"/>
    </xf>
    <xf numFmtId="166" fontId="3" fillId="7" borderId="1" xfId="1" applyNumberFormat="1" applyFont="1" applyFill="1" applyBorder="1" applyAlignment="1">
      <alignment horizontal="center"/>
    </xf>
    <xf numFmtId="165" fontId="3" fillId="7" borderId="1" xfId="0" applyNumberFormat="1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left"/>
    </xf>
    <xf numFmtId="3" fontId="4" fillId="4" borderId="1" xfId="0" applyNumberFormat="1" applyFont="1" applyFill="1" applyBorder="1" applyAlignment="1">
      <alignment horizontal="center" vertical="center" wrapText="1"/>
    </xf>
    <xf numFmtId="0" fontId="11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2" fillId="0" borderId="0" xfId="0" applyFont="1" applyAlignment="1">
      <alignment horizontal="center" wrapText="1"/>
    </xf>
    <xf numFmtId="0" fontId="13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13" fillId="0" borderId="0" xfId="0" applyFont="1" applyAlignment="1">
      <alignment horizontal="left" vertical="center"/>
    </xf>
    <xf numFmtId="0" fontId="12" fillId="0" borderId="0" xfId="0" applyFont="1" applyAlignment="1">
      <alignment wrapText="1"/>
    </xf>
    <xf numFmtId="0" fontId="12" fillId="0" borderId="0" xfId="0" applyFont="1"/>
    <xf numFmtId="0" fontId="13" fillId="0" borderId="0" xfId="0" applyFont="1"/>
    <xf numFmtId="0" fontId="7" fillId="4" borderId="0" xfId="0" applyFont="1" applyFill="1"/>
    <xf numFmtId="0" fontId="8" fillId="0" borderId="0" xfId="0" applyFont="1"/>
    <xf numFmtId="0" fontId="8" fillId="4" borderId="0" xfId="0" applyFont="1" applyFill="1"/>
    <xf numFmtId="166" fontId="4" fillId="2" borderId="1" xfId="1" applyNumberFormat="1" applyFont="1" applyFill="1" applyBorder="1" applyAlignment="1">
      <alignment horizontal="center" vertical="center" wrapText="1"/>
    </xf>
    <xf numFmtId="17" fontId="4" fillId="2" borderId="1" xfId="0" applyNumberFormat="1" applyFont="1" applyFill="1" applyBorder="1" applyAlignment="1">
      <alignment horizontal="center" vertical="center"/>
    </xf>
    <xf numFmtId="165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horizontal="justify" vertical="center"/>
    </xf>
    <xf numFmtId="0" fontId="16" fillId="0" borderId="0" xfId="0" applyFont="1"/>
    <xf numFmtId="0" fontId="16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1" fillId="4" borderId="0" xfId="0" applyFont="1" applyFill="1"/>
    <xf numFmtId="0" fontId="22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/>
    </xf>
    <xf numFmtId="3" fontId="4" fillId="4" borderId="1" xfId="0" applyNumberFormat="1" applyFont="1" applyFill="1" applyBorder="1" applyAlignment="1">
      <alignment horizontal="center" vertical="center"/>
    </xf>
    <xf numFmtId="14" fontId="4" fillId="4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3" fontId="5" fillId="4" borderId="1" xfId="0" applyNumberFormat="1" applyFont="1" applyFill="1" applyBorder="1" applyAlignment="1">
      <alignment horizontal="center" vertical="center"/>
    </xf>
    <xf numFmtId="3" fontId="5" fillId="4" borderId="1" xfId="0" applyNumberFormat="1" applyFont="1" applyFill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2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17" fontId="5" fillId="4" borderId="1" xfId="0" applyNumberFormat="1" applyFont="1" applyFill="1" applyBorder="1" applyAlignment="1">
      <alignment horizontal="center" vertical="center"/>
    </xf>
    <xf numFmtId="17" fontId="5" fillId="0" borderId="1" xfId="0" applyNumberFormat="1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3" fontId="5" fillId="4" borderId="1" xfId="0" applyNumberFormat="1" applyFont="1" applyFill="1" applyBorder="1" applyAlignment="1">
      <alignment horizontal="left" vertical="center"/>
    </xf>
    <xf numFmtId="3" fontId="4" fillId="4" borderId="1" xfId="0" applyNumberFormat="1" applyFont="1" applyFill="1" applyBorder="1" applyAlignment="1">
      <alignment horizontal="left" vertical="center"/>
    </xf>
    <xf numFmtId="17" fontId="4" fillId="4" borderId="1" xfId="0" applyNumberFormat="1" applyFont="1" applyFill="1" applyBorder="1" applyAlignment="1">
      <alignment horizontal="center" vertical="center"/>
    </xf>
    <xf numFmtId="165" fontId="4" fillId="4" borderId="1" xfId="0" applyNumberFormat="1" applyFont="1" applyFill="1" applyBorder="1" applyAlignment="1">
      <alignment horizontal="center" vertical="center" wrapText="1"/>
    </xf>
    <xf numFmtId="166" fontId="4" fillId="4" borderId="1" xfId="1" applyNumberFormat="1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/>
    </xf>
    <xf numFmtId="166" fontId="4" fillId="0" borderId="1" xfId="1" applyNumberFormat="1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166" fontId="4" fillId="4" borderId="1" xfId="1" applyNumberFormat="1" applyFont="1" applyFill="1" applyBorder="1" applyAlignment="1">
      <alignment horizontal="left" vertical="center" wrapText="1"/>
    </xf>
    <xf numFmtId="165" fontId="4" fillId="0" borderId="1" xfId="1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vertical="center" wrapText="1"/>
    </xf>
    <xf numFmtId="165" fontId="4" fillId="4" borderId="1" xfId="0" applyNumberFormat="1" applyFont="1" applyFill="1" applyBorder="1" applyAlignment="1">
      <alignment horizontal="center" vertical="center"/>
    </xf>
    <xf numFmtId="165" fontId="3" fillId="4" borderId="1" xfId="1" applyNumberFormat="1" applyFont="1" applyFill="1" applyBorder="1" applyAlignment="1">
      <alignment horizontal="center" vertical="center" wrapText="1"/>
    </xf>
    <xf numFmtId="165" fontId="5" fillId="4" borderId="1" xfId="1" applyNumberFormat="1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vertical="center" wrapText="1"/>
    </xf>
    <xf numFmtId="17" fontId="5" fillId="0" borderId="1" xfId="0" applyNumberFormat="1" applyFont="1" applyBorder="1" applyAlignment="1">
      <alignment vertical="center"/>
    </xf>
    <xf numFmtId="165" fontId="5" fillId="4" borderId="1" xfId="0" applyNumberFormat="1" applyFont="1" applyFill="1" applyBorder="1" applyAlignment="1">
      <alignment horizontal="center" vertical="center" wrapText="1"/>
    </xf>
    <xf numFmtId="165" fontId="4" fillId="4" borderId="1" xfId="1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3" fillId="0" borderId="0" xfId="0" applyFont="1"/>
    <xf numFmtId="3" fontId="5" fillId="4" borderId="1" xfId="0" applyNumberFormat="1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4" fontId="4" fillId="4" borderId="1" xfId="0" applyNumberFormat="1" applyFont="1" applyFill="1" applyBorder="1" applyAlignment="1">
      <alignment horizontal="center" vertical="center"/>
    </xf>
    <xf numFmtId="14" fontId="4" fillId="4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 wrapText="1"/>
    </xf>
    <xf numFmtId="165" fontId="3" fillId="2" borderId="1" xfId="1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3" fontId="4" fillId="4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left" vertical="center" wrapText="1"/>
    </xf>
    <xf numFmtId="164" fontId="6" fillId="2" borderId="1" xfId="2" applyFont="1" applyFill="1" applyBorder="1" applyAlignment="1">
      <alignment horizontal="center" vertical="center" wrapText="1"/>
    </xf>
  </cellXfs>
  <cellStyles count="3">
    <cellStyle name="Milliers" xfId="1" builtinId="3"/>
    <cellStyle name="Milliers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0</xdr:colOff>
      <xdr:row>38</xdr:row>
      <xdr:rowOff>0</xdr:rowOff>
    </xdr:from>
    <xdr:ext cx="184731" cy="264560"/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53000765-ED7F-4947-A636-6EE5C6F9009D}"/>
            </a:ext>
          </a:extLst>
        </xdr:cNvPr>
        <xdr:cNvSpPr txBox="1"/>
      </xdr:nvSpPr>
      <xdr:spPr>
        <a:xfrm>
          <a:off x="11727180" y="185470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6</xdr:col>
      <xdr:colOff>1085850</xdr:colOff>
      <xdr:row>38</xdr:row>
      <xdr:rowOff>0</xdr:rowOff>
    </xdr:from>
    <xdr:ext cx="184731" cy="264560"/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5D16EA32-A499-44CE-A82D-7ED9D89E7B82}"/>
            </a:ext>
          </a:extLst>
        </xdr:cNvPr>
        <xdr:cNvSpPr txBox="1"/>
      </xdr:nvSpPr>
      <xdr:spPr>
        <a:xfrm>
          <a:off x="8705850" y="185470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6</xdr:col>
      <xdr:colOff>1085850</xdr:colOff>
      <xdr:row>38</xdr:row>
      <xdr:rowOff>0</xdr:rowOff>
    </xdr:from>
    <xdr:ext cx="184731" cy="264560"/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640FE93B-F2C2-4D6A-ABC9-C7C2C1160708}"/>
            </a:ext>
          </a:extLst>
        </xdr:cNvPr>
        <xdr:cNvSpPr txBox="1"/>
      </xdr:nvSpPr>
      <xdr:spPr>
        <a:xfrm>
          <a:off x="8705850" y="185470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0</xdr:colOff>
      <xdr:row>40</xdr:row>
      <xdr:rowOff>0</xdr:rowOff>
    </xdr:from>
    <xdr:ext cx="184731" cy="264560"/>
    <xdr:sp macro="" textlink="">
      <xdr:nvSpPr>
        <xdr:cNvPr id="5" name="ZoneTexte 4">
          <a:extLst>
            <a:ext uri="{FF2B5EF4-FFF2-40B4-BE49-F238E27FC236}">
              <a16:creationId xmlns:a16="http://schemas.microsoft.com/office/drawing/2014/main" id="{9B963E1A-1D21-499C-973F-244D2D0CC84F}"/>
            </a:ext>
          </a:extLst>
        </xdr:cNvPr>
        <xdr:cNvSpPr txBox="1"/>
      </xdr:nvSpPr>
      <xdr:spPr>
        <a:xfrm>
          <a:off x="5974080" y="19613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3"/>
  <sheetViews>
    <sheetView tabSelected="1" zoomScaleNormal="100" workbookViewId="0">
      <selection activeCell="G196" sqref="G196"/>
    </sheetView>
  </sheetViews>
  <sheetFormatPr baseColWidth="10" defaultColWidth="11.42578125" defaultRowHeight="15" x14ac:dyDescent="0.25"/>
  <cols>
    <col min="1" max="1" width="11.85546875" style="42" customWidth="1"/>
    <col min="2" max="2" width="15.28515625" style="42" customWidth="1"/>
    <col min="3" max="3" width="17" style="42" customWidth="1"/>
    <col min="4" max="4" width="24.42578125" style="58" customWidth="1"/>
    <col min="5" max="5" width="21.5703125" style="42" customWidth="1"/>
    <col min="6" max="6" width="23.85546875" style="42" customWidth="1"/>
    <col min="7" max="7" width="37.85546875" style="42" customWidth="1"/>
    <col min="8" max="8" width="21.140625" style="42" customWidth="1"/>
    <col min="9" max="9" width="16.42578125" style="42" customWidth="1"/>
    <col min="10" max="10" width="16.28515625" style="42" customWidth="1"/>
    <col min="11" max="11" width="12.140625" style="42" customWidth="1"/>
    <col min="12" max="12" width="15.5703125" style="42" customWidth="1"/>
    <col min="13" max="13" width="7.7109375" style="42" customWidth="1"/>
    <col min="14" max="14" width="16.85546875" style="42" customWidth="1"/>
    <col min="15" max="15" width="12" style="42" customWidth="1"/>
    <col min="16" max="16384" width="11.42578125" style="42"/>
  </cols>
  <sheetData>
    <row r="1" spans="1:15" ht="17.25" x14ac:dyDescent="0.3">
      <c r="A1" s="34" t="s">
        <v>0</v>
      </c>
      <c r="B1" s="35"/>
      <c r="C1" s="35"/>
      <c r="D1" s="36"/>
      <c r="E1" s="36"/>
      <c r="F1" s="36"/>
      <c r="G1" s="37"/>
      <c r="H1" s="38"/>
      <c r="I1" s="39"/>
      <c r="J1" s="39"/>
      <c r="K1" s="59" t="s">
        <v>91</v>
      </c>
      <c r="L1" s="40"/>
      <c r="M1" s="40"/>
      <c r="N1" s="40"/>
      <c r="O1" s="41"/>
    </row>
    <row r="2" spans="1:15" ht="17.25" x14ac:dyDescent="0.3">
      <c r="A2" s="34" t="s">
        <v>1</v>
      </c>
      <c r="B2" s="35"/>
      <c r="C2" s="35"/>
      <c r="D2" s="36"/>
      <c r="E2" s="36"/>
      <c r="F2" s="36"/>
      <c r="G2" s="37"/>
      <c r="H2" s="38"/>
      <c r="I2" s="39"/>
      <c r="J2" s="39"/>
      <c r="K2" s="40"/>
      <c r="L2" s="40"/>
      <c r="M2" s="40"/>
      <c r="N2" s="40"/>
      <c r="O2" s="41"/>
    </row>
    <row r="3" spans="1:15" ht="17.25" x14ac:dyDescent="0.3">
      <c r="A3" s="34"/>
      <c r="B3" s="35"/>
      <c r="C3" s="35"/>
      <c r="D3" s="36"/>
      <c r="E3" s="36"/>
      <c r="F3" s="36"/>
      <c r="G3" s="37"/>
      <c r="H3" s="38"/>
      <c r="I3" s="39"/>
      <c r="J3" s="39"/>
      <c r="K3" s="41"/>
      <c r="L3" s="40"/>
      <c r="M3" s="40" t="s">
        <v>94</v>
      </c>
      <c r="N3" s="40"/>
      <c r="O3" s="41"/>
    </row>
    <row r="4" spans="1:15" ht="17.25" x14ac:dyDescent="0.3">
      <c r="A4" s="34" t="s">
        <v>2</v>
      </c>
      <c r="B4" s="35"/>
      <c r="C4" s="35"/>
      <c r="D4" s="36"/>
      <c r="E4" s="36"/>
      <c r="F4" s="36"/>
      <c r="G4" s="37"/>
      <c r="H4" s="38"/>
      <c r="I4" s="39"/>
      <c r="J4" s="39"/>
      <c r="K4" s="41"/>
      <c r="L4" s="41"/>
      <c r="M4" s="59" t="s">
        <v>92</v>
      </c>
      <c r="N4" s="40"/>
      <c r="O4" s="41"/>
    </row>
    <row r="5" spans="1:15" ht="17.25" x14ac:dyDescent="0.3">
      <c r="A5" s="34"/>
      <c r="B5" s="35"/>
      <c r="C5" s="35"/>
      <c r="D5" s="36"/>
      <c r="E5" s="36"/>
      <c r="F5" s="36"/>
      <c r="G5" s="37"/>
      <c r="H5" s="38"/>
      <c r="I5" s="39"/>
      <c r="J5" s="39"/>
      <c r="K5" s="40"/>
      <c r="L5" s="40"/>
      <c r="M5" s="40"/>
      <c r="N5" s="40"/>
      <c r="O5" s="41"/>
    </row>
    <row r="6" spans="1:15" ht="17.25" x14ac:dyDescent="0.3">
      <c r="A6" s="34" t="s">
        <v>3</v>
      </c>
      <c r="B6" s="35"/>
      <c r="C6" s="35"/>
      <c r="D6" s="36"/>
      <c r="E6" s="36"/>
      <c r="F6" s="36"/>
      <c r="G6" s="41"/>
      <c r="H6" s="37"/>
      <c r="I6" s="39"/>
      <c r="J6" s="39" t="s">
        <v>93</v>
      </c>
      <c r="K6" s="39"/>
      <c r="L6" s="39"/>
      <c r="M6" s="39"/>
      <c r="N6" s="40"/>
      <c r="O6" s="41"/>
    </row>
    <row r="7" spans="1:15" ht="17.25" x14ac:dyDescent="0.3">
      <c r="A7" s="34"/>
      <c r="B7" s="34"/>
      <c r="C7" s="34"/>
      <c r="D7" s="43"/>
      <c r="E7" s="36"/>
      <c r="F7" s="36"/>
      <c r="H7" s="44"/>
      <c r="I7" s="45"/>
      <c r="J7" s="45"/>
      <c r="K7" s="45"/>
      <c r="L7" s="45"/>
      <c r="M7" s="45"/>
      <c r="N7" s="46"/>
    </row>
    <row r="10" spans="1:15" ht="17.25" x14ac:dyDescent="0.25">
      <c r="A10" s="1" t="s">
        <v>4</v>
      </c>
      <c r="B10" s="1"/>
      <c r="C10" s="1"/>
      <c r="D10" s="123" t="s">
        <v>230</v>
      </c>
      <c r="E10" s="123"/>
      <c r="F10" s="123"/>
      <c r="G10" s="123"/>
      <c r="H10" s="123"/>
      <c r="I10" s="123"/>
      <c r="J10" s="123"/>
      <c r="K10" s="123"/>
      <c r="L10" s="123"/>
    </row>
    <row r="12" spans="1:15" ht="49.5" customHeight="1" x14ac:dyDescent="0.25">
      <c r="A12" s="124" t="s">
        <v>5</v>
      </c>
      <c r="B12" s="105" t="s">
        <v>6</v>
      </c>
      <c r="C12" s="105" t="s">
        <v>7</v>
      </c>
      <c r="D12" s="125" t="s">
        <v>8</v>
      </c>
      <c r="E12" s="122" t="s">
        <v>97</v>
      </c>
      <c r="F12" s="126" t="s">
        <v>9</v>
      </c>
      <c r="G12" s="122" t="s">
        <v>10</v>
      </c>
      <c r="H12" s="122" t="s">
        <v>11</v>
      </c>
      <c r="I12" s="122" t="s">
        <v>12</v>
      </c>
      <c r="J12" s="122" t="s">
        <v>13</v>
      </c>
      <c r="K12" s="122" t="s">
        <v>14</v>
      </c>
      <c r="L12" s="122" t="s">
        <v>15</v>
      </c>
      <c r="M12" s="122" t="s">
        <v>16</v>
      </c>
      <c r="N12" s="122" t="s">
        <v>17</v>
      </c>
      <c r="O12" s="122" t="s">
        <v>18</v>
      </c>
    </row>
    <row r="13" spans="1:15" ht="53.45" customHeight="1" x14ac:dyDescent="0.25">
      <c r="A13" s="124"/>
      <c r="B13" s="105"/>
      <c r="C13" s="105"/>
      <c r="D13" s="105"/>
      <c r="E13" s="122"/>
      <c r="F13" s="126"/>
      <c r="G13" s="122"/>
      <c r="H13" s="122"/>
      <c r="I13" s="122"/>
      <c r="J13" s="122"/>
      <c r="K13" s="122"/>
      <c r="L13" s="122"/>
      <c r="M13" s="122"/>
      <c r="N13" s="122"/>
      <c r="O13" s="122"/>
    </row>
    <row r="14" spans="1:15" ht="25.5" customHeight="1" x14ac:dyDescent="0.25">
      <c r="A14" s="106" t="s">
        <v>19</v>
      </c>
      <c r="B14" s="106"/>
      <c r="C14" s="106"/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</row>
    <row r="15" spans="1:15" ht="19.5" customHeight="1" x14ac:dyDescent="0.25">
      <c r="A15" s="106" t="s">
        <v>20</v>
      </c>
      <c r="B15" s="106"/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</row>
    <row r="16" spans="1:15" ht="99" x14ac:dyDescent="0.25">
      <c r="A16" s="63">
        <v>1</v>
      </c>
      <c r="B16" s="62">
        <v>60114650</v>
      </c>
      <c r="C16" s="2" t="s">
        <v>21</v>
      </c>
      <c r="D16" s="64">
        <f>43500*500000</f>
        <v>21750000000</v>
      </c>
      <c r="E16" s="64">
        <v>0</v>
      </c>
      <c r="F16" s="65">
        <f t="shared" ref="F16:F26" si="0">D16-E16</f>
        <v>21750000000</v>
      </c>
      <c r="G16" s="31" t="s">
        <v>190</v>
      </c>
      <c r="H16" s="2" t="s">
        <v>191</v>
      </c>
      <c r="I16" s="66">
        <v>45649</v>
      </c>
      <c r="J16" s="66">
        <f t="shared" ref="J16:J27" si="1">I16+7</f>
        <v>45656</v>
      </c>
      <c r="K16" s="64" t="s">
        <v>22</v>
      </c>
      <c r="L16" s="66">
        <f t="shared" ref="L16:L29" si="2">J16+30</f>
        <v>45686</v>
      </c>
      <c r="M16" s="64">
        <v>90</v>
      </c>
      <c r="N16" s="66">
        <f t="shared" ref="N16:N27" si="3">L16+M16</f>
        <v>45776</v>
      </c>
      <c r="O16" s="3" t="s">
        <v>23</v>
      </c>
    </row>
    <row r="17" spans="1:16" ht="99" x14ac:dyDescent="0.25">
      <c r="A17" s="63">
        <v>2</v>
      </c>
      <c r="B17" s="62">
        <v>60114600</v>
      </c>
      <c r="C17" s="2" t="s">
        <v>21</v>
      </c>
      <c r="D17" s="64">
        <f>315000*20000</f>
        <v>6300000000</v>
      </c>
      <c r="E17" s="64">
        <v>0</v>
      </c>
      <c r="F17" s="65">
        <f t="shared" ref="F17" si="4">D17-E17</f>
        <v>6300000000</v>
      </c>
      <c r="G17" s="31" t="s">
        <v>100</v>
      </c>
      <c r="H17" s="2" t="s">
        <v>191</v>
      </c>
      <c r="I17" s="66">
        <v>45678</v>
      </c>
      <c r="J17" s="66">
        <f t="shared" si="1"/>
        <v>45685</v>
      </c>
      <c r="K17" s="64" t="s">
        <v>22</v>
      </c>
      <c r="L17" s="66">
        <f t="shared" si="2"/>
        <v>45715</v>
      </c>
      <c r="M17" s="64">
        <v>90</v>
      </c>
      <c r="N17" s="66">
        <f t="shared" ref="N17" si="5">L17+M17</f>
        <v>45805</v>
      </c>
      <c r="O17" s="3" t="s">
        <v>23</v>
      </c>
    </row>
    <row r="18" spans="1:16" ht="99" x14ac:dyDescent="0.25">
      <c r="A18" s="63">
        <v>3</v>
      </c>
      <c r="B18" s="62">
        <v>60114600</v>
      </c>
      <c r="C18" s="2" t="s">
        <v>21</v>
      </c>
      <c r="D18" s="64">
        <f>15000*265000</f>
        <v>3975000000</v>
      </c>
      <c r="E18" s="64">
        <v>0</v>
      </c>
      <c r="F18" s="65">
        <f t="shared" ref="F18" si="6">D18-E18</f>
        <v>3975000000</v>
      </c>
      <c r="G18" s="31" t="s">
        <v>102</v>
      </c>
      <c r="H18" s="2" t="s">
        <v>191</v>
      </c>
      <c r="I18" s="66">
        <v>45685</v>
      </c>
      <c r="J18" s="66">
        <f t="shared" si="1"/>
        <v>45692</v>
      </c>
      <c r="K18" s="64" t="s">
        <v>22</v>
      </c>
      <c r="L18" s="66">
        <f t="shared" si="2"/>
        <v>45722</v>
      </c>
      <c r="M18" s="64">
        <v>90</v>
      </c>
      <c r="N18" s="66">
        <f t="shared" ref="N18:N19" si="7">L18+M18</f>
        <v>45812</v>
      </c>
      <c r="O18" s="3" t="s">
        <v>23</v>
      </c>
    </row>
    <row r="19" spans="1:16" ht="111.6" customHeight="1" x14ac:dyDescent="0.25">
      <c r="A19" s="63">
        <v>4</v>
      </c>
      <c r="B19" s="62">
        <v>60114610</v>
      </c>
      <c r="C19" s="2" t="s">
        <v>21</v>
      </c>
      <c r="D19" s="64">
        <f>310000*8500</f>
        <v>2635000000</v>
      </c>
      <c r="E19" s="64">
        <v>0</v>
      </c>
      <c r="F19" s="65">
        <f t="shared" si="0"/>
        <v>2635000000</v>
      </c>
      <c r="G19" s="3" t="s">
        <v>103</v>
      </c>
      <c r="H19" s="2" t="s">
        <v>191</v>
      </c>
      <c r="I19" s="66">
        <v>45692</v>
      </c>
      <c r="J19" s="66">
        <f t="shared" si="1"/>
        <v>45699</v>
      </c>
      <c r="K19" s="64" t="s">
        <v>22</v>
      </c>
      <c r="L19" s="66">
        <f t="shared" si="2"/>
        <v>45729</v>
      </c>
      <c r="M19" s="64">
        <v>90</v>
      </c>
      <c r="N19" s="66">
        <f t="shared" si="7"/>
        <v>45819</v>
      </c>
      <c r="O19" s="3" t="s">
        <v>23</v>
      </c>
    </row>
    <row r="20" spans="1:16" ht="102.6" customHeight="1" x14ac:dyDescent="0.25">
      <c r="A20" s="63">
        <v>5</v>
      </c>
      <c r="B20" s="62">
        <v>60114620</v>
      </c>
      <c r="C20" s="2" t="s">
        <v>21</v>
      </c>
      <c r="D20" s="64">
        <f>1500*365000</f>
        <v>547500000</v>
      </c>
      <c r="E20" s="64">
        <v>0</v>
      </c>
      <c r="F20" s="65">
        <f t="shared" si="0"/>
        <v>547500000</v>
      </c>
      <c r="G20" s="3" t="s">
        <v>104</v>
      </c>
      <c r="H20" s="2" t="s">
        <v>191</v>
      </c>
      <c r="I20" s="66">
        <f>I19+7</f>
        <v>45699</v>
      </c>
      <c r="J20" s="66">
        <f t="shared" si="1"/>
        <v>45706</v>
      </c>
      <c r="K20" s="64" t="s">
        <v>22</v>
      </c>
      <c r="L20" s="66">
        <f t="shared" si="2"/>
        <v>45736</v>
      </c>
      <c r="M20" s="64">
        <v>90</v>
      </c>
      <c r="N20" s="66">
        <f t="shared" si="3"/>
        <v>45826</v>
      </c>
      <c r="O20" s="3" t="s">
        <v>23</v>
      </c>
    </row>
    <row r="21" spans="1:16" ht="77.45" customHeight="1" x14ac:dyDescent="0.25">
      <c r="A21" s="63">
        <v>6</v>
      </c>
      <c r="B21" s="6">
        <v>60114660</v>
      </c>
      <c r="C21" s="2" t="s">
        <v>21</v>
      </c>
      <c r="D21" s="65">
        <f>20000*500000</f>
        <v>10000000000</v>
      </c>
      <c r="E21" s="65">
        <v>0</v>
      </c>
      <c r="F21" s="65">
        <f t="shared" si="0"/>
        <v>10000000000</v>
      </c>
      <c r="G21" s="31" t="s">
        <v>105</v>
      </c>
      <c r="H21" s="2" t="s">
        <v>101</v>
      </c>
      <c r="I21" s="66">
        <v>45648</v>
      </c>
      <c r="J21" s="66">
        <f t="shared" si="1"/>
        <v>45655</v>
      </c>
      <c r="K21" s="65" t="s">
        <v>22</v>
      </c>
      <c r="L21" s="66">
        <f t="shared" si="2"/>
        <v>45685</v>
      </c>
      <c r="M21" s="65">
        <v>90</v>
      </c>
      <c r="N21" s="66">
        <f t="shared" si="3"/>
        <v>45775</v>
      </c>
      <c r="O21" s="31" t="s">
        <v>23</v>
      </c>
    </row>
    <row r="22" spans="1:16" s="47" customFormat="1" ht="115.15" customHeight="1" x14ac:dyDescent="0.25">
      <c r="A22" s="63">
        <v>7</v>
      </c>
      <c r="B22" s="6">
        <v>60114660</v>
      </c>
      <c r="C22" s="2" t="s">
        <v>21</v>
      </c>
      <c r="D22" s="65">
        <f>500000*500</f>
        <v>250000000</v>
      </c>
      <c r="E22" s="65">
        <v>0</v>
      </c>
      <c r="F22" s="65">
        <f t="shared" ref="F22" si="8">D22-E22</f>
        <v>250000000</v>
      </c>
      <c r="G22" s="31" t="s">
        <v>106</v>
      </c>
      <c r="H22" s="2" t="s">
        <v>191</v>
      </c>
      <c r="I22" s="66">
        <v>45699</v>
      </c>
      <c r="J22" s="66">
        <f t="shared" si="1"/>
        <v>45706</v>
      </c>
      <c r="K22" s="65" t="s">
        <v>22</v>
      </c>
      <c r="L22" s="66">
        <f t="shared" si="2"/>
        <v>45736</v>
      </c>
      <c r="M22" s="65">
        <v>90</v>
      </c>
      <c r="N22" s="66">
        <f t="shared" ref="N22:N23" si="9">L22+M22</f>
        <v>45826</v>
      </c>
      <c r="O22" s="31" t="s">
        <v>23</v>
      </c>
    </row>
    <row r="23" spans="1:16" ht="99" x14ac:dyDescent="0.25">
      <c r="A23" s="63">
        <v>8</v>
      </c>
      <c r="B23" s="6">
        <v>60114681</v>
      </c>
      <c r="C23" s="2" t="s">
        <v>21</v>
      </c>
      <c r="D23" s="65">
        <f>500000*200</f>
        <v>100000000</v>
      </c>
      <c r="E23" s="65">
        <v>0</v>
      </c>
      <c r="F23" s="65">
        <f t="shared" si="0"/>
        <v>100000000</v>
      </c>
      <c r="G23" s="31" t="s">
        <v>107</v>
      </c>
      <c r="H23" s="2" t="s">
        <v>191</v>
      </c>
      <c r="I23" s="66">
        <v>45692</v>
      </c>
      <c r="J23" s="66">
        <f t="shared" si="1"/>
        <v>45699</v>
      </c>
      <c r="K23" s="65" t="s">
        <v>22</v>
      </c>
      <c r="L23" s="66">
        <f t="shared" si="2"/>
        <v>45729</v>
      </c>
      <c r="M23" s="65">
        <v>90</v>
      </c>
      <c r="N23" s="66">
        <f t="shared" si="9"/>
        <v>45819</v>
      </c>
      <c r="O23" s="31" t="s">
        <v>23</v>
      </c>
    </row>
    <row r="24" spans="1:16" ht="100.9" customHeight="1" x14ac:dyDescent="0.25">
      <c r="A24" s="63">
        <v>9</v>
      </c>
      <c r="B24" s="62">
        <v>60114682</v>
      </c>
      <c r="C24" s="2" t="s">
        <v>21</v>
      </c>
      <c r="D24" s="64">
        <f>100*800000</f>
        <v>80000000</v>
      </c>
      <c r="E24" s="64">
        <v>0</v>
      </c>
      <c r="F24" s="65">
        <f t="shared" si="0"/>
        <v>80000000</v>
      </c>
      <c r="G24" s="3" t="s">
        <v>108</v>
      </c>
      <c r="H24" s="2" t="s">
        <v>191</v>
      </c>
      <c r="I24" s="66">
        <v>45685</v>
      </c>
      <c r="J24" s="66">
        <f t="shared" si="1"/>
        <v>45692</v>
      </c>
      <c r="K24" s="64" t="s">
        <v>22</v>
      </c>
      <c r="L24" s="66">
        <f t="shared" si="2"/>
        <v>45722</v>
      </c>
      <c r="M24" s="64">
        <v>90</v>
      </c>
      <c r="N24" s="66">
        <f t="shared" si="3"/>
        <v>45812</v>
      </c>
      <c r="O24" s="3" t="s">
        <v>23</v>
      </c>
    </row>
    <row r="25" spans="1:16" s="32" customFormat="1" ht="100.9" customHeight="1" x14ac:dyDescent="0.25">
      <c r="A25" s="63">
        <v>10</v>
      </c>
      <c r="B25" s="62">
        <v>60114693</v>
      </c>
      <c r="C25" s="2" t="s">
        <v>21</v>
      </c>
      <c r="D25" s="64">
        <f>2500*400000</f>
        <v>1000000000</v>
      </c>
      <c r="E25" s="64">
        <v>0</v>
      </c>
      <c r="F25" s="65">
        <f t="shared" si="0"/>
        <v>1000000000</v>
      </c>
      <c r="G25" s="3" t="s">
        <v>110</v>
      </c>
      <c r="H25" s="2" t="s">
        <v>195</v>
      </c>
      <c r="I25" s="66">
        <v>45748</v>
      </c>
      <c r="J25" s="66">
        <f t="shared" si="1"/>
        <v>45755</v>
      </c>
      <c r="K25" s="64" t="s">
        <v>22</v>
      </c>
      <c r="L25" s="66">
        <f t="shared" si="2"/>
        <v>45785</v>
      </c>
      <c r="M25" s="64">
        <v>90</v>
      </c>
      <c r="N25" s="66">
        <f t="shared" si="3"/>
        <v>45875</v>
      </c>
      <c r="O25" s="3" t="s">
        <v>23</v>
      </c>
    </row>
    <row r="26" spans="1:16" s="32" customFormat="1" ht="100.9" customHeight="1" x14ac:dyDescent="0.25">
      <c r="A26" s="63">
        <v>11</v>
      </c>
      <c r="B26" s="62">
        <v>60114695</v>
      </c>
      <c r="C26" s="2" t="s">
        <v>21</v>
      </c>
      <c r="D26" s="64">
        <f>500*150000</f>
        <v>75000000</v>
      </c>
      <c r="E26" s="64">
        <v>0</v>
      </c>
      <c r="F26" s="65">
        <f t="shared" si="0"/>
        <v>75000000</v>
      </c>
      <c r="G26" s="3" t="s">
        <v>133</v>
      </c>
      <c r="H26" s="2" t="s">
        <v>191</v>
      </c>
      <c r="I26" s="66">
        <v>45698</v>
      </c>
      <c r="J26" s="66">
        <f t="shared" si="1"/>
        <v>45705</v>
      </c>
      <c r="K26" s="64" t="s">
        <v>22</v>
      </c>
      <c r="L26" s="66">
        <f t="shared" si="2"/>
        <v>45735</v>
      </c>
      <c r="M26" s="64">
        <v>90</v>
      </c>
      <c r="N26" s="66">
        <f t="shared" si="3"/>
        <v>45825</v>
      </c>
      <c r="O26" s="3" t="s">
        <v>23</v>
      </c>
    </row>
    <row r="27" spans="1:16" s="32" customFormat="1" ht="99" x14ac:dyDescent="0.25">
      <c r="A27" s="63">
        <v>12</v>
      </c>
      <c r="B27" s="62">
        <v>60114613</v>
      </c>
      <c r="C27" s="2" t="s">
        <v>21</v>
      </c>
      <c r="D27" s="64">
        <v>1941580000</v>
      </c>
      <c r="E27" s="65">
        <v>0</v>
      </c>
      <c r="F27" s="65">
        <f t="shared" ref="F27:F36" si="10">D27-E27</f>
        <v>1941580000</v>
      </c>
      <c r="G27" s="31" t="s">
        <v>164</v>
      </c>
      <c r="H27" s="2" t="s">
        <v>191</v>
      </c>
      <c r="I27" s="66">
        <v>45649</v>
      </c>
      <c r="J27" s="66">
        <f t="shared" si="1"/>
        <v>45656</v>
      </c>
      <c r="K27" s="65" t="s">
        <v>22</v>
      </c>
      <c r="L27" s="66">
        <f t="shared" si="2"/>
        <v>45686</v>
      </c>
      <c r="M27" s="65">
        <v>120</v>
      </c>
      <c r="N27" s="66">
        <f t="shared" si="3"/>
        <v>45806</v>
      </c>
      <c r="O27" s="31" t="s">
        <v>23</v>
      </c>
      <c r="P27" s="60"/>
    </row>
    <row r="28" spans="1:16" s="32" customFormat="1" ht="83.25" customHeight="1" x14ac:dyDescent="0.25">
      <c r="A28" s="63">
        <v>13</v>
      </c>
      <c r="B28" s="6">
        <v>60114683</v>
      </c>
      <c r="C28" s="67" t="s">
        <v>21</v>
      </c>
      <c r="D28" s="31">
        <f>(14750*13500)+(7000*39416)</f>
        <v>475037000</v>
      </c>
      <c r="E28" s="31">
        <v>0</v>
      </c>
      <c r="F28" s="31">
        <f t="shared" si="10"/>
        <v>475037000</v>
      </c>
      <c r="G28" s="31" t="s">
        <v>163</v>
      </c>
      <c r="H28" s="31" t="s">
        <v>109</v>
      </c>
      <c r="I28" s="66">
        <v>45652</v>
      </c>
      <c r="J28" s="70">
        <f>+I28+30</f>
        <v>45682</v>
      </c>
      <c r="K28" s="68" t="s">
        <v>88</v>
      </c>
      <c r="L28" s="70">
        <f t="shared" si="2"/>
        <v>45712</v>
      </c>
      <c r="M28" s="68">
        <v>60</v>
      </c>
      <c r="N28" s="70">
        <f>L28+M28</f>
        <v>45772</v>
      </c>
      <c r="O28" s="69" t="s">
        <v>23</v>
      </c>
      <c r="P28" s="60"/>
    </row>
    <row r="29" spans="1:16" s="32" customFormat="1" ht="73.5" customHeight="1" x14ac:dyDescent="0.25">
      <c r="A29" s="63">
        <v>14</v>
      </c>
      <c r="B29" s="6">
        <v>60114684</v>
      </c>
      <c r="C29" s="67" t="s">
        <v>21</v>
      </c>
      <c r="D29" s="31">
        <f>(36000*13150)+(58000*7770)</f>
        <v>924060000</v>
      </c>
      <c r="E29" s="31">
        <v>0</v>
      </c>
      <c r="F29" s="31">
        <f t="shared" si="10"/>
        <v>924060000</v>
      </c>
      <c r="G29" s="31" t="s">
        <v>162</v>
      </c>
      <c r="H29" s="31" t="s">
        <v>109</v>
      </c>
      <c r="I29" s="66">
        <v>45652</v>
      </c>
      <c r="J29" s="70">
        <f>+I29+30</f>
        <v>45682</v>
      </c>
      <c r="K29" s="68" t="s">
        <v>88</v>
      </c>
      <c r="L29" s="70">
        <f t="shared" si="2"/>
        <v>45712</v>
      </c>
      <c r="M29" s="68">
        <v>60</v>
      </c>
      <c r="N29" s="70">
        <f>L29+M29</f>
        <v>45772</v>
      </c>
      <c r="O29" s="69" t="s">
        <v>23</v>
      </c>
      <c r="P29" s="60"/>
    </row>
    <row r="30" spans="1:16" s="32" customFormat="1" ht="66" x14ac:dyDescent="0.25">
      <c r="A30" s="63">
        <v>15</v>
      </c>
      <c r="B30" s="62">
        <v>60114685</v>
      </c>
      <c r="C30" s="71" t="s">
        <v>21</v>
      </c>
      <c r="D30" s="31">
        <f>1500*24800</f>
        <v>37200000</v>
      </c>
      <c r="E30" s="31">
        <v>0</v>
      </c>
      <c r="F30" s="31">
        <f t="shared" si="10"/>
        <v>37200000</v>
      </c>
      <c r="G30" s="31" t="s">
        <v>90</v>
      </c>
      <c r="H30" s="31" t="s">
        <v>192</v>
      </c>
      <c r="I30" s="88">
        <v>45748</v>
      </c>
      <c r="J30" s="96">
        <f>+I30+7</f>
        <v>45755</v>
      </c>
      <c r="K30" s="72" t="s">
        <v>22</v>
      </c>
      <c r="L30" s="96">
        <f t="shared" ref="L30" si="11">J30+30</f>
        <v>45785</v>
      </c>
      <c r="M30" s="72">
        <v>60</v>
      </c>
      <c r="N30" s="96">
        <f t="shared" ref="N30" si="12">L30+M30</f>
        <v>45845</v>
      </c>
      <c r="O30" s="73" t="s">
        <v>23</v>
      </c>
      <c r="P30" s="60"/>
    </row>
    <row r="31" spans="1:16" s="32" customFormat="1" ht="97.5" customHeight="1" x14ac:dyDescent="0.25">
      <c r="A31" s="63">
        <v>16</v>
      </c>
      <c r="B31" s="6">
        <v>60114686</v>
      </c>
      <c r="C31" s="67" t="s">
        <v>21</v>
      </c>
      <c r="D31" s="31">
        <f>27785*20000</f>
        <v>555700000</v>
      </c>
      <c r="E31" s="31">
        <v>0</v>
      </c>
      <c r="F31" s="31">
        <f t="shared" si="10"/>
        <v>555700000</v>
      </c>
      <c r="G31" s="31" t="s">
        <v>165</v>
      </c>
      <c r="H31" s="31" t="s">
        <v>112</v>
      </c>
      <c r="I31" s="66">
        <v>45654</v>
      </c>
      <c r="J31" s="70">
        <f>+I31+30</f>
        <v>45684</v>
      </c>
      <c r="K31" s="68" t="s">
        <v>88</v>
      </c>
      <c r="L31" s="70">
        <f>J31+30</f>
        <v>45714</v>
      </c>
      <c r="M31" s="68">
        <v>60</v>
      </c>
      <c r="N31" s="70">
        <f t="shared" ref="N31:N36" si="13">L31+M31</f>
        <v>45774</v>
      </c>
      <c r="O31" s="69" t="s">
        <v>23</v>
      </c>
      <c r="P31" s="60"/>
    </row>
    <row r="32" spans="1:16" s="60" customFormat="1" ht="99" x14ac:dyDescent="0.25">
      <c r="A32" s="63">
        <v>17</v>
      </c>
      <c r="B32" s="6">
        <v>60114688</v>
      </c>
      <c r="C32" s="67" t="s">
        <v>21</v>
      </c>
      <c r="D32" s="31">
        <f>20000*3205</f>
        <v>64100000</v>
      </c>
      <c r="E32" s="31">
        <v>0</v>
      </c>
      <c r="F32" s="31">
        <f t="shared" si="10"/>
        <v>64100000</v>
      </c>
      <c r="G32" s="31" t="s">
        <v>166</v>
      </c>
      <c r="H32" s="2" t="s">
        <v>191</v>
      </c>
      <c r="I32" s="66">
        <v>45654</v>
      </c>
      <c r="J32" s="70">
        <f>+I32+7</f>
        <v>45661</v>
      </c>
      <c r="K32" s="68" t="s">
        <v>22</v>
      </c>
      <c r="L32" s="70">
        <f>J32+30</f>
        <v>45691</v>
      </c>
      <c r="M32" s="68">
        <v>60</v>
      </c>
      <c r="N32" s="70">
        <f t="shared" si="13"/>
        <v>45751</v>
      </c>
      <c r="O32" s="69" t="s">
        <v>23</v>
      </c>
    </row>
    <row r="33" spans="1:15" s="60" customFormat="1" ht="65.25" customHeight="1" x14ac:dyDescent="0.25">
      <c r="A33" s="63">
        <v>18</v>
      </c>
      <c r="B33" s="6">
        <v>60114689</v>
      </c>
      <c r="C33" s="31" t="s">
        <v>21</v>
      </c>
      <c r="D33" s="31">
        <f>1418*4150</f>
        <v>5884700</v>
      </c>
      <c r="E33" s="31">
        <v>0</v>
      </c>
      <c r="F33" s="31">
        <f t="shared" si="10"/>
        <v>5884700</v>
      </c>
      <c r="G33" s="31" t="s">
        <v>111</v>
      </c>
      <c r="H33" s="2" t="s">
        <v>117</v>
      </c>
      <c r="I33" s="66">
        <v>45670</v>
      </c>
      <c r="J33" s="70">
        <f>+I33+3</f>
        <v>45673</v>
      </c>
      <c r="K33" s="68" t="s">
        <v>22</v>
      </c>
      <c r="L33" s="70">
        <f>J33+14</f>
        <v>45687</v>
      </c>
      <c r="M33" s="68">
        <v>21</v>
      </c>
      <c r="N33" s="70">
        <f t="shared" si="13"/>
        <v>45708</v>
      </c>
      <c r="O33" s="69" t="s">
        <v>23</v>
      </c>
    </row>
    <row r="34" spans="1:15" s="60" customFormat="1" ht="65.25" customHeight="1" x14ac:dyDescent="0.25">
      <c r="A34" s="63">
        <v>19</v>
      </c>
      <c r="B34" s="6">
        <v>60114690</v>
      </c>
      <c r="C34" s="31" t="s">
        <v>21</v>
      </c>
      <c r="D34" s="31">
        <f>917*8250</f>
        <v>7565250</v>
      </c>
      <c r="E34" s="31">
        <v>0</v>
      </c>
      <c r="F34" s="31">
        <f t="shared" si="10"/>
        <v>7565250</v>
      </c>
      <c r="G34" s="31" t="s">
        <v>167</v>
      </c>
      <c r="H34" s="2" t="s">
        <v>117</v>
      </c>
      <c r="I34" s="66">
        <v>45670</v>
      </c>
      <c r="J34" s="70">
        <f>+I34+3</f>
        <v>45673</v>
      </c>
      <c r="K34" s="68" t="s">
        <v>22</v>
      </c>
      <c r="L34" s="70">
        <f>J34+14</f>
        <v>45687</v>
      </c>
      <c r="M34" s="68">
        <v>21</v>
      </c>
      <c r="N34" s="70">
        <f t="shared" si="13"/>
        <v>45708</v>
      </c>
      <c r="O34" s="69" t="s">
        <v>23</v>
      </c>
    </row>
    <row r="35" spans="1:15" s="60" customFormat="1" ht="66" x14ac:dyDescent="0.25">
      <c r="A35" s="63">
        <v>20</v>
      </c>
      <c r="B35" s="6">
        <v>60114691</v>
      </c>
      <c r="C35" s="31" t="s">
        <v>21</v>
      </c>
      <c r="D35" s="31">
        <f>31250*4890</f>
        <v>152812500</v>
      </c>
      <c r="E35" s="31">
        <v>0</v>
      </c>
      <c r="F35" s="31">
        <f t="shared" si="10"/>
        <v>152812500</v>
      </c>
      <c r="G35" s="31" t="s">
        <v>132</v>
      </c>
      <c r="H35" s="2" t="s">
        <v>192</v>
      </c>
      <c r="I35" s="66">
        <v>45671</v>
      </c>
      <c r="J35" s="70">
        <f>+I35+7</f>
        <v>45678</v>
      </c>
      <c r="K35" s="68" t="s">
        <v>22</v>
      </c>
      <c r="L35" s="70">
        <f>J35+30</f>
        <v>45708</v>
      </c>
      <c r="M35" s="68">
        <v>60</v>
      </c>
      <c r="N35" s="70">
        <f t="shared" si="13"/>
        <v>45768</v>
      </c>
      <c r="O35" s="69" t="s">
        <v>23</v>
      </c>
    </row>
    <row r="36" spans="1:15" s="60" customFormat="1" ht="66" x14ac:dyDescent="0.25">
      <c r="A36" s="63">
        <v>21</v>
      </c>
      <c r="B36" s="6">
        <v>60114694</v>
      </c>
      <c r="C36" s="67" t="s">
        <v>21</v>
      </c>
      <c r="D36" s="31">
        <f>5450*2000</f>
        <v>10900000</v>
      </c>
      <c r="E36" s="31">
        <v>0</v>
      </c>
      <c r="F36" s="31">
        <f t="shared" si="10"/>
        <v>10900000</v>
      </c>
      <c r="G36" s="31" t="s">
        <v>113</v>
      </c>
      <c r="H36" s="2" t="s">
        <v>192</v>
      </c>
      <c r="I36" s="66">
        <v>45671</v>
      </c>
      <c r="J36" s="70">
        <f>+I36+7</f>
        <v>45678</v>
      </c>
      <c r="K36" s="68" t="s">
        <v>22</v>
      </c>
      <c r="L36" s="70">
        <f>J36+30</f>
        <v>45708</v>
      </c>
      <c r="M36" s="68">
        <v>60</v>
      </c>
      <c r="N36" s="70">
        <f t="shared" si="13"/>
        <v>45768</v>
      </c>
      <c r="O36" s="69" t="s">
        <v>23</v>
      </c>
    </row>
    <row r="37" spans="1:15" ht="42" customHeight="1" x14ac:dyDescent="0.25">
      <c r="A37" s="109" t="s">
        <v>24</v>
      </c>
      <c r="B37" s="109"/>
      <c r="C37" s="109"/>
      <c r="D37" s="4">
        <f>SUM(D16:D36)</f>
        <v>50887339450</v>
      </c>
      <c r="E37" s="4">
        <f t="shared" ref="E37:F37" si="14">SUM(E16:E36)</f>
        <v>0</v>
      </c>
      <c r="F37" s="4">
        <f t="shared" si="14"/>
        <v>50887339450</v>
      </c>
      <c r="G37" s="5"/>
      <c r="H37" s="5"/>
      <c r="I37" s="5"/>
      <c r="J37" s="5"/>
      <c r="K37" s="5"/>
      <c r="L37" s="5"/>
      <c r="M37" s="5"/>
      <c r="N37" s="5"/>
      <c r="O37" s="5"/>
    </row>
    <row r="38" spans="1:15" ht="42" customHeight="1" x14ac:dyDescent="0.25">
      <c r="A38" s="104" t="s">
        <v>25</v>
      </c>
      <c r="B38" s="104"/>
      <c r="C38" s="104"/>
      <c r="D38" s="104"/>
      <c r="E38" s="104"/>
      <c r="F38" s="104"/>
      <c r="G38" s="104"/>
      <c r="H38" s="104"/>
      <c r="I38" s="104"/>
      <c r="J38" s="104"/>
      <c r="K38" s="104"/>
      <c r="L38" s="104"/>
      <c r="M38" s="104"/>
      <c r="N38" s="104"/>
      <c r="O38" s="104"/>
    </row>
    <row r="39" spans="1:15" s="32" customFormat="1" ht="45.6" customHeight="1" x14ac:dyDescent="0.25">
      <c r="A39" s="74">
        <v>22</v>
      </c>
      <c r="B39" s="75">
        <v>60414600</v>
      </c>
      <c r="C39" s="76" t="s">
        <v>21</v>
      </c>
      <c r="D39" s="103">
        <v>5500000</v>
      </c>
      <c r="E39" s="103">
        <v>0</v>
      </c>
      <c r="F39" s="68">
        <f>D39-E39</f>
        <v>5500000</v>
      </c>
      <c r="G39" s="77" t="s">
        <v>26</v>
      </c>
      <c r="H39" s="77" t="s">
        <v>118</v>
      </c>
      <c r="I39" s="97">
        <v>45663</v>
      </c>
      <c r="J39" s="97">
        <f>+I39+3</f>
        <v>45666</v>
      </c>
      <c r="K39" s="98" t="s">
        <v>22</v>
      </c>
      <c r="L39" s="97">
        <f>+J39+14</f>
        <v>45680</v>
      </c>
      <c r="M39" s="75">
        <v>15</v>
      </c>
      <c r="N39" s="97">
        <f>L39+M39</f>
        <v>45695</v>
      </c>
      <c r="O39" s="73" t="s">
        <v>23</v>
      </c>
    </row>
    <row r="40" spans="1:15" ht="42" customHeight="1" x14ac:dyDescent="0.25">
      <c r="A40" s="109" t="s">
        <v>24</v>
      </c>
      <c r="B40" s="109"/>
      <c r="C40" s="5" t="s">
        <v>21</v>
      </c>
      <c r="D40" s="4">
        <f>SUM(D39)</f>
        <v>5500000</v>
      </c>
      <c r="E40" s="4">
        <f t="shared" ref="E40:F40" si="15">SUM(E39)</f>
        <v>0</v>
      </c>
      <c r="F40" s="4">
        <f t="shared" si="15"/>
        <v>5500000</v>
      </c>
      <c r="G40" s="5"/>
      <c r="H40" s="5"/>
      <c r="I40" s="5"/>
      <c r="J40" s="5"/>
      <c r="K40" s="5"/>
      <c r="L40" s="5"/>
      <c r="M40" s="5"/>
      <c r="N40" s="5"/>
      <c r="O40" s="5"/>
    </row>
    <row r="41" spans="1:15" ht="42" customHeight="1" x14ac:dyDescent="0.25">
      <c r="A41" s="104" t="s">
        <v>27</v>
      </c>
      <c r="B41" s="104"/>
      <c r="C41" s="104"/>
      <c r="D41" s="104"/>
      <c r="E41" s="104"/>
      <c r="F41" s="104"/>
      <c r="G41" s="104"/>
      <c r="H41" s="104"/>
      <c r="I41" s="104"/>
      <c r="J41" s="104"/>
      <c r="K41" s="104"/>
      <c r="L41" s="104"/>
      <c r="M41" s="104"/>
      <c r="N41" s="104"/>
      <c r="O41" s="104"/>
    </row>
    <row r="42" spans="1:15" s="32" customFormat="1" ht="60" x14ac:dyDescent="0.25">
      <c r="A42" s="67">
        <v>23</v>
      </c>
      <c r="B42" s="67">
        <v>6042</v>
      </c>
      <c r="C42" s="67" t="s">
        <v>21</v>
      </c>
      <c r="D42" s="69">
        <v>360000000</v>
      </c>
      <c r="E42" s="69">
        <v>0</v>
      </c>
      <c r="F42" s="68">
        <f>D42-E42</f>
        <v>360000000</v>
      </c>
      <c r="G42" s="67" t="s">
        <v>169</v>
      </c>
      <c r="H42" s="67" t="s">
        <v>192</v>
      </c>
      <c r="I42" s="70">
        <v>45653</v>
      </c>
      <c r="J42" s="70">
        <f>I42+4</f>
        <v>45657</v>
      </c>
      <c r="K42" s="78" t="s">
        <v>22</v>
      </c>
      <c r="L42" s="70">
        <f>J42+30</f>
        <v>45687</v>
      </c>
      <c r="M42" s="80">
        <v>15</v>
      </c>
      <c r="N42" s="70">
        <f>L42+M42</f>
        <v>45702</v>
      </c>
      <c r="O42" s="69" t="s">
        <v>23</v>
      </c>
    </row>
    <row r="43" spans="1:15" ht="42" customHeight="1" x14ac:dyDescent="0.25">
      <c r="A43" s="109" t="s">
        <v>24</v>
      </c>
      <c r="B43" s="109"/>
      <c r="C43" s="109"/>
      <c r="D43" s="4">
        <f>SUM(D42:D42)</f>
        <v>360000000</v>
      </c>
      <c r="E43" s="4">
        <f>SUM(E42:E42)</f>
        <v>0</v>
      </c>
      <c r="F43" s="4">
        <f>SUM(F42:F42)</f>
        <v>360000000</v>
      </c>
      <c r="G43" s="4"/>
      <c r="H43" s="4"/>
      <c r="I43" s="4"/>
      <c r="J43" s="4"/>
      <c r="K43" s="4"/>
      <c r="L43" s="4"/>
      <c r="M43" s="4"/>
      <c r="N43" s="4"/>
      <c r="O43" s="4"/>
    </row>
    <row r="44" spans="1:15" ht="42" customHeight="1" x14ac:dyDescent="0.25">
      <c r="A44" s="104" t="s">
        <v>134</v>
      </c>
      <c r="B44" s="104"/>
      <c r="C44" s="104"/>
      <c r="D44" s="104"/>
      <c r="E44" s="104"/>
      <c r="F44" s="104"/>
      <c r="G44" s="104"/>
      <c r="H44" s="104"/>
      <c r="I44" s="104"/>
      <c r="J44" s="104"/>
      <c r="K44" s="104"/>
      <c r="L44" s="104"/>
      <c r="M44" s="104"/>
      <c r="N44" s="104"/>
      <c r="O44" s="4"/>
    </row>
    <row r="45" spans="1:15" s="32" customFormat="1" ht="42" customHeight="1" x14ac:dyDescent="0.25">
      <c r="A45" s="71">
        <v>24</v>
      </c>
      <c r="B45" s="71">
        <v>60434600</v>
      </c>
      <c r="C45" s="69" t="s">
        <v>21</v>
      </c>
      <c r="D45" s="69">
        <v>3500000</v>
      </c>
      <c r="E45" s="69">
        <v>0</v>
      </c>
      <c r="F45" s="68">
        <f>D45-E45</f>
        <v>3500000</v>
      </c>
      <c r="G45" s="71" t="s">
        <v>28</v>
      </c>
      <c r="H45" s="71" t="s">
        <v>117</v>
      </c>
      <c r="I45" s="70">
        <v>45717</v>
      </c>
      <c r="J45" s="70">
        <f>+I45+3</f>
        <v>45720</v>
      </c>
      <c r="K45" s="79" t="s">
        <v>22</v>
      </c>
      <c r="L45" s="70">
        <f>+J45+14</f>
        <v>45734</v>
      </c>
      <c r="M45" s="74">
        <v>21</v>
      </c>
      <c r="N45" s="70">
        <f>+L45+M45</f>
        <v>45755</v>
      </c>
      <c r="O45" s="73" t="s">
        <v>23</v>
      </c>
    </row>
    <row r="46" spans="1:15" s="32" customFormat="1" ht="42" customHeight="1" x14ac:dyDescent="0.25">
      <c r="A46" s="67">
        <v>25</v>
      </c>
      <c r="B46" s="62">
        <v>60434610</v>
      </c>
      <c r="C46" s="69" t="s">
        <v>21</v>
      </c>
      <c r="D46" s="69">
        <v>126000000</v>
      </c>
      <c r="E46" s="69">
        <v>0</v>
      </c>
      <c r="F46" s="68">
        <f>D46-E46</f>
        <v>126000000</v>
      </c>
      <c r="G46" s="67" t="s">
        <v>114</v>
      </c>
      <c r="H46" s="67" t="s">
        <v>128</v>
      </c>
      <c r="I46" s="70">
        <v>45678</v>
      </c>
      <c r="J46" s="70">
        <f>+I46+5</f>
        <v>45683</v>
      </c>
      <c r="K46" s="78" t="s">
        <v>22</v>
      </c>
      <c r="L46" s="70">
        <f>+J46+30</f>
        <v>45713</v>
      </c>
      <c r="M46" s="80">
        <v>60</v>
      </c>
      <c r="N46" s="70">
        <f>+L46+M46</f>
        <v>45773</v>
      </c>
      <c r="O46" s="69" t="s">
        <v>23</v>
      </c>
    </row>
    <row r="47" spans="1:15" s="32" customFormat="1" ht="42" customHeight="1" x14ac:dyDescent="0.25">
      <c r="A47" s="109" t="s">
        <v>24</v>
      </c>
      <c r="B47" s="109"/>
      <c r="C47" s="5" t="s">
        <v>21</v>
      </c>
      <c r="D47" s="4">
        <f>+D46+D45</f>
        <v>129500000</v>
      </c>
      <c r="E47" s="4">
        <f t="shared" ref="E47:F47" si="16">+E46+E45</f>
        <v>0</v>
      </c>
      <c r="F47" s="4">
        <f t="shared" si="16"/>
        <v>129500000</v>
      </c>
      <c r="G47" s="5"/>
      <c r="H47" s="5"/>
      <c r="I47" s="5"/>
      <c r="J47" s="5"/>
      <c r="K47" s="5"/>
      <c r="L47" s="5"/>
      <c r="M47" s="5"/>
      <c r="N47" s="5"/>
      <c r="O47" s="5"/>
    </row>
    <row r="48" spans="1:15" ht="42" customHeight="1" x14ac:dyDescent="0.25">
      <c r="A48" s="104" t="s">
        <v>29</v>
      </c>
      <c r="B48" s="104"/>
      <c r="C48" s="104"/>
      <c r="D48" s="104"/>
      <c r="E48" s="104"/>
      <c r="F48" s="104"/>
      <c r="G48" s="104"/>
      <c r="H48" s="104"/>
      <c r="I48" s="104"/>
      <c r="J48" s="104"/>
      <c r="K48" s="104"/>
      <c r="L48" s="104"/>
      <c r="M48" s="104"/>
      <c r="N48" s="104"/>
      <c r="O48" s="104"/>
    </row>
    <row r="49" spans="1:15" s="32" customFormat="1" ht="42" customHeight="1" x14ac:dyDescent="0.25">
      <c r="A49" s="67">
        <v>26</v>
      </c>
      <c r="B49" s="67">
        <v>60554600</v>
      </c>
      <c r="C49" s="67" t="s">
        <v>21</v>
      </c>
      <c r="D49" s="81">
        <v>10000000</v>
      </c>
      <c r="E49" s="68">
        <v>0</v>
      </c>
      <c r="F49" s="68">
        <f>D49-E49</f>
        <v>10000000</v>
      </c>
      <c r="G49" s="71" t="s">
        <v>30</v>
      </c>
      <c r="H49" s="67" t="s">
        <v>117</v>
      </c>
      <c r="I49" s="70">
        <v>45684</v>
      </c>
      <c r="J49" s="70">
        <f>+I49+3</f>
        <v>45687</v>
      </c>
      <c r="K49" s="67" t="s">
        <v>22</v>
      </c>
      <c r="L49" s="70">
        <f>+J49+14</f>
        <v>45701</v>
      </c>
      <c r="M49" s="67">
        <v>15</v>
      </c>
      <c r="N49" s="70">
        <f>+L49+M49</f>
        <v>45716</v>
      </c>
      <c r="O49" s="73" t="s">
        <v>23</v>
      </c>
    </row>
    <row r="50" spans="1:15" s="32" customFormat="1" ht="42" customHeight="1" x14ac:dyDescent="0.25">
      <c r="A50" s="67">
        <v>27</v>
      </c>
      <c r="B50" s="67">
        <v>60554610</v>
      </c>
      <c r="C50" s="67" t="s">
        <v>21</v>
      </c>
      <c r="D50" s="81">
        <v>18045000</v>
      </c>
      <c r="E50" s="68">
        <v>0</v>
      </c>
      <c r="F50" s="68">
        <f t="shared" ref="F50:F51" si="17">D50-E50</f>
        <v>18045000</v>
      </c>
      <c r="G50" s="67" t="s">
        <v>31</v>
      </c>
      <c r="H50" s="67" t="s">
        <v>117</v>
      </c>
      <c r="I50" s="70">
        <v>42108</v>
      </c>
      <c r="J50" s="70">
        <f>+I50+3</f>
        <v>42111</v>
      </c>
      <c r="K50" s="67" t="s">
        <v>22</v>
      </c>
      <c r="L50" s="70">
        <f>+J50+14</f>
        <v>42125</v>
      </c>
      <c r="M50" s="67">
        <v>15</v>
      </c>
      <c r="N50" s="70">
        <f>+L50+M50</f>
        <v>42140</v>
      </c>
      <c r="O50" s="73" t="s">
        <v>23</v>
      </c>
    </row>
    <row r="51" spans="1:15" s="32" customFormat="1" ht="42" customHeight="1" x14ac:dyDescent="0.25">
      <c r="A51" s="67">
        <v>28</v>
      </c>
      <c r="B51" s="67">
        <v>60554611</v>
      </c>
      <c r="C51" s="67" t="s">
        <v>200</v>
      </c>
      <c r="D51" s="81">
        <v>100000</v>
      </c>
      <c r="E51" s="68">
        <v>0</v>
      </c>
      <c r="F51" s="68">
        <f t="shared" si="17"/>
        <v>100000</v>
      </c>
      <c r="G51" s="67" t="s">
        <v>135</v>
      </c>
      <c r="H51" s="67" t="s">
        <v>119</v>
      </c>
      <c r="I51" s="70">
        <v>42108</v>
      </c>
      <c r="J51" s="70">
        <f>+I51+3</f>
        <v>42111</v>
      </c>
      <c r="K51" s="67" t="s">
        <v>22</v>
      </c>
      <c r="L51" s="70">
        <f>+J51+14</f>
        <v>42125</v>
      </c>
      <c r="M51" s="67">
        <v>15</v>
      </c>
      <c r="N51" s="70">
        <f>+L51+M51</f>
        <v>42140</v>
      </c>
      <c r="O51" s="73" t="s">
        <v>23</v>
      </c>
    </row>
    <row r="52" spans="1:15" ht="42" customHeight="1" x14ac:dyDescent="0.25">
      <c r="A52" s="109" t="s">
        <v>24</v>
      </c>
      <c r="B52" s="109"/>
      <c r="C52" s="109"/>
      <c r="D52" s="4">
        <f>+D51+D50+D49</f>
        <v>28145000</v>
      </c>
      <c r="E52" s="4">
        <f t="shared" ref="E52:F52" si="18">+E51+E50+E49</f>
        <v>0</v>
      </c>
      <c r="F52" s="4">
        <f t="shared" si="18"/>
        <v>28145000</v>
      </c>
      <c r="G52" s="4"/>
      <c r="H52" s="4"/>
      <c r="I52" s="4"/>
      <c r="J52" s="4"/>
      <c r="K52" s="4"/>
      <c r="L52" s="4"/>
      <c r="M52" s="4"/>
      <c r="N52" s="4"/>
      <c r="O52" s="5"/>
    </row>
    <row r="53" spans="1:15" ht="42" customHeight="1" x14ac:dyDescent="0.25">
      <c r="A53" s="104" t="s">
        <v>32</v>
      </c>
      <c r="B53" s="104"/>
      <c r="C53" s="104"/>
      <c r="D53" s="104"/>
      <c r="E53" s="104"/>
      <c r="F53" s="104"/>
      <c r="G53" s="104"/>
      <c r="H53" s="104"/>
      <c r="I53" s="104"/>
      <c r="J53" s="104"/>
      <c r="K53" s="104"/>
      <c r="L53" s="104"/>
      <c r="M53" s="104"/>
      <c r="N53" s="104"/>
      <c r="O53" s="104"/>
    </row>
    <row r="54" spans="1:15" s="32" customFormat="1" ht="55.5" customHeight="1" x14ac:dyDescent="0.25">
      <c r="A54" s="67">
        <v>29</v>
      </c>
      <c r="B54" s="80">
        <v>6056</v>
      </c>
      <c r="C54" s="67" t="s">
        <v>21</v>
      </c>
      <c r="D54" s="81">
        <v>6320000</v>
      </c>
      <c r="E54" s="68">
        <v>0</v>
      </c>
      <c r="F54" s="68">
        <f t="shared" ref="F54:F55" si="19">D54-E54</f>
        <v>6320000</v>
      </c>
      <c r="G54" s="67" t="s">
        <v>115</v>
      </c>
      <c r="H54" s="67" t="s">
        <v>116</v>
      </c>
      <c r="I54" s="70">
        <v>45782</v>
      </c>
      <c r="J54" s="70">
        <f>+I54+3</f>
        <v>45785</v>
      </c>
      <c r="K54" s="78" t="s">
        <v>22</v>
      </c>
      <c r="L54" s="70">
        <f>+J54+15</f>
        <v>45800</v>
      </c>
      <c r="M54" s="80">
        <v>15</v>
      </c>
      <c r="N54" s="70">
        <f>L54+M54</f>
        <v>45815</v>
      </c>
      <c r="O54" s="73" t="s">
        <v>23</v>
      </c>
    </row>
    <row r="55" spans="1:15" s="61" customFormat="1" ht="72.599999999999994" customHeight="1" x14ac:dyDescent="0.3">
      <c r="A55" s="67">
        <v>30</v>
      </c>
      <c r="B55" s="6">
        <v>6056</v>
      </c>
      <c r="C55" s="2" t="s">
        <v>21</v>
      </c>
      <c r="D55" s="82">
        <v>5000000</v>
      </c>
      <c r="E55" s="65">
        <v>0</v>
      </c>
      <c r="F55" s="65">
        <f t="shared" si="19"/>
        <v>5000000</v>
      </c>
      <c r="G55" s="67" t="s">
        <v>202</v>
      </c>
      <c r="H55" s="2" t="s">
        <v>116</v>
      </c>
      <c r="I55" s="66">
        <v>45789</v>
      </c>
      <c r="J55" s="66">
        <f>+I55+3</f>
        <v>45792</v>
      </c>
      <c r="K55" s="83" t="s">
        <v>22</v>
      </c>
      <c r="L55" s="66">
        <f>+J55+15</f>
        <v>45807</v>
      </c>
      <c r="M55" s="6">
        <v>15</v>
      </c>
      <c r="N55" s="66">
        <f>L55+M55</f>
        <v>45822</v>
      </c>
      <c r="O55" s="3" t="s">
        <v>23</v>
      </c>
    </row>
    <row r="56" spans="1:15" s="61" customFormat="1" ht="72.599999999999994" customHeight="1" x14ac:dyDescent="0.3">
      <c r="A56" s="67">
        <v>31</v>
      </c>
      <c r="B56" s="6">
        <v>6056</v>
      </c>
      <c r="C56" s="2" t="s">
        <v>21</v>
      </c>
      <c r="D56" s="82">
        <v>20800000</v>
      </c>
      <c r="E56" s="65">
        <v>0</v>
      </c>
      <c r="F56" s="65">
        <f t="shared" ref="F56:F57" si="20">D56-E56</f>
        <v>20800000</v>
      </c>
      <c r="G56" s="67" t="s">
        <v>201</v>
      </c>
      <c r="H56" s="2" t="s">
        <v>128</v>
      </c>
      <c r="I56" s="66">
        <v>45796</v>
      </c>
      <c r="J56" s="66">
        <f>+I56+3</f>
        <v>45799</v>
      </c>
      <c r="K56" s="83" t="s">
        <v>22</v>
      </c>
      <c r="L56" s="66">
        <f>+J56+15</f>
        <v>45814</v>
      </c>
      <c r="M56" s="6">
        <v>15</v>
      </c>
      <c r="N56" s="66">
        <f>L56+M56</f>
        <v>45829</v>
      </c>
      <c r="O56" s="3" t="s">
        <v>23</v>
      </c>
    </row>
    <row r="57" spans="1:15" s="61" customFormat="1" ht="72.599999999999994" customHeight="1" x14ac:dyDescent="0.3">
      <c r="A57" s="67">
        <v>32</v>
      </c>
      <c r="B57" s="6">
        <v>6056</v>
      </c>
      <c r="C57" s="2" t="s">
        <v>21</v>
      </c>
      <c r="D57" s="82">
        <v>2500000</v>
      </c>
      <c r="E57" s="65">
        <v>0</v>
      </c>
      <c r="F57" s="65">
        <f t="shared" si="20"/>
        <v>2500000</v>
      </c>
      <c r="G57" s="67" t="s">
        <v>203</v>
      </c>
      <c r="H57" s="2" t="s">
        <v>116</v>
      </c>
      <c r="I57" s="66">
        <v>45677</v>
      </c>
      <c r="J57" s="66">
        <f>+I57+3</f>
        <v>45680</v>
      </c>
      <c r="K57" s="83" t="s">
        <v>22</v>
      </c>
      <c r="L57" s="66">
        <f>+J57+15</f>
        <v>45695</v>
      </c>
      <c r="M57" s="6">
        <v>15</v>
      </c>
      <c r="N57" s="66">
        <f>L57+M57</f>
        <v>45710</v>
      </c>
      <c r="O57" s="3" t="s">
        <v>23</v>
      </c>
    </row>
    <row r="58" spans="1:15" s="48" customFormat="1" ht="42" customHeight="1" x14ac:dyDescent="0.3">
      <c r="A58" s="108" t="s">
        <v>24</v>
      </c>
      <c r="B58" s="108"/>
      <c r="C58" s="108"/>
      <c r="D58" s="7">
        <f>SUM(D54:D57)</f>
        <v>34620000</v>
      </c>
      <c r="E58" s="7">
        <f t="shared" ref="E58:F58" si="21">SUM(E54:E57)</f>
        <v>0</v>
      </c>
      <c r="F58" s="7">
        <f t="shared" si="21"/>
        <v>34620000</v>
      </c>
      <c r="G58" s="7"/>
      <c r="H58" s="7"/>
      <c r="I58" s="7"/>
      <c r="J58" s="7"/>
      <c r="K58" s="7"/>
      <c r="L58" s="7"/>
      <c r="M58" s="7"/>
      <c r="N58" s="7"/>
      <c r="O58" s="7"/>
    </row>
    <row r="59" spans="1:15" s="48" customFormat="1" ht="42" customHeight="1" x14ac:dyDescent="0.3">
      <c r="A59" s="106" t="s">
        <v>33</v>
      </c>
      <c r="B59" s="106"/>
      <c r="C59" s="106"/>
      <c r="D59" s="106"/>
      <c r="E59" s="106"/>
      <c r="F59" s="106"/>
      <c r="G59" s="106"/>
      <c r="H59" s="106"/>
      <c r="I59" s="106"/>
      <c r="J59" s="106"/>
      <c r="K59" s="106"/>
      <c r="L59" s="106"/>
      <c r="M59" s="106"/>
      <c r="N59" s="106"/>
      <c r="O59" s="106"/>
    </row>
    <row r="60" spans="1:15" s="48" customFormat="1" ht="42" customHeight="1" x14ac:dyDescent="0.3">
      <c r="A60" s="101">
        <v>33</v>
      </c>
      <c r="B60" s="62">
        <v>6057</v>
      </c>
      <c r="C60" s="67" t="s">
        <v>21</v>
      </c>
      <c r="D60" s="87">
        <f>155*90000</f>
        <v>13950000</v>
      </c>
      <c r="E60" s="31">
        <v>0</v>
      </c>
      <c r="F60" s="87">
        <f t="shared" ref="F60" si="22">155*90000</f>
        <v>13950000</v>
      </c>
      <c r="G60" s="31" t="s">
        <v>168</v>
      </c>
      <c r="H60" s="2" t="s">
        <v>118</v>
      </c>
      <c r="I60" s="66">
        <v>45672</v>
      </c>
      <c r="J60" s="70">
        <f>I60+3</f>
        <v>45675</v>
      </c>
      <c r="K60" s="68" t="s">
        <v>22</v>
      </c>
      <c r="L60" s="70">
        <f>J60+30</f>
        <v>45705</v>
      </c>
      <c r="M60" s="68">
        <v>30</v>
      </c>
      <c r="N60" s="70">
        <v>46021</v>
      </c>
      <c r="O60" s="69" t="s">
        <v>23</v>
      </c>
    </row>
    <row r="61" spans="1:15" s="61" customFormat="1" ht="54" customHeight="1" x14ac:dyDescent="0.3">
      <c r="A61" s="84">
        <v>34</v>
      </c>
      <c r="B61" s="2">
        <v>6057</v>
      </c>
      <c r="C61" s="63" t="s">
        <v>21</v>
      </c>
      <c r="D61" s="87">
        <f>100*10000</f>
        <v>1000000</v>
      </c>
      <c r="E61" s="64">
        <v>0</v>
      </c>
      <c r="F61" s="87">
        <f>D61-E61</f>
        <v>1000000</v>
      </c>
      <c r="G61" s="63" t="s">
        <v>136</v>
      </c>
      <c r="H61" s="63" t="s">
        <v>117</v>
      </c>
      <c r="I61" s="66">
        <v>45733</v>
      </c>
      <c r="J61" s="66">
        <f>+I61+3</f>
        <v>45736</v>
      </c>
      <c r="K61" s="62" t="s">
        <v>22</v>
      </c>
      <c r="L61" s="89">
        <f>J61+15</f>
        <v>45751</v>
      </c>
      <c r="M61" s="62">
        <v>30</v>
      </c>
      <c r="N61" s="89">
        <f>L61+M61</f>
        <v>45781</v>
      </c>
      <c r="O61" s="3" t="s">
        <v>23</v>
      </c>
    </row>
    <row r="62" spans="1:15" s="61" customFormat="1" ht="82.5" x14ac:dyDescent="0.3">
      <c r="A62" s="84">
        <v>35</v>
      </c>
      <c r="B62" s="2">
        <v>6057</v>
      </c>
      <c r="C62" s="63" t="s">
        <v>21</v>
      </c>
      <c r="D62" s="87">
        <v>8000000</v>
      </c>
      <c r="E62" s="64">
        <v>0</v>
      </c>
      <c r="F62" s="87">
        <f t="shared" ref="F62:F76" si="23">D62-E62</f>
        <v>8000000</v>
      </c>
      <c r="G62" s="63" t="s">
        <v>34</v>
      </c>
      <c r="H62" s="63" t="s">
        <v>229</v>
      </c>
      <c r="I62" s="88">
        <v>45652</v>
      </c>
      <c r="J62" s="88">
        <f>+I62+7</f>
        <v>45659</v>
      </c>
      <c r="K62" s="9" t="s">
        <v>22</v>
      </c>
      <c r="L62" s="88">
        <f>+J62+14</f>
        <v>45673</v>
      </c>
      <c r="M62" s="62">
        <v>365</v>
      </c>
      <c r="N62" s="89">
        <v>46022</v>
      </c>
      <c r="O62" s="3" t="s">
        <v>23</v>
      </c>
    </row>
    <row r="63" spans="1:15" s="48" customFormat="1" ht="70.900000000000006" customHeight="1" x14ac:dyDescent="0.3">
      <c r="A63" s="84">
        <v>36</v>
      </c>
      <c r="B63" s="2">
        <v>6057</v>
      </c>
      <c r="C63" s="63" t="s">
        <v>21</v>
      </c>
      <c r="D63" s="87">
        <v>7500000</v>
      </c>
      <c r="E63" s="64">
        <v>0</v>
      </c>
      <c r="F63" s="87">
        <f t="shared" si="23"/>
        <v>7500000</v>
      </c>
      <c r="G63" s="63" t="s">
        <v>137</v>
      </c>
      <c r="H63" s="63" t="s">
        <v>171</v>
      </c>
      <c r="I63" s="89">
        <v>45839</v>
      </c>
      <c r="J63" s="88">
        <f>I63+7</f>
        <v>45846</v>
      </c>
      <c r="K63" s="64" t="s">
        <v>22</v>
      </c>
      <c r="L63" s="88">
        <f>J63+30</f>
        <v>45876</v>
      </c>
      <c r="M63" s="64">
        <v>45</v>
      </c>
      <c r="N63" s="88">
        <f t="shared" ref="N63:N76" si="24">L63+M63</f>
        <v>45921</v>
      </c>
      <c r="O63" s="3" t="s">
        <v>23</v>
      </c>
    </row>
    <row r="64" spans="1:15" s="48" customFormat="1" ht="52.15" customHeight="1" x14ac:dyDescent="0.3">
      <c r="A64" s="84">
        <f t="shared" ref="A64" si="25">A63+1</f>
        <v>37</v>
      </c>
      <c r="B64" s="2">
        <v>6057</v>
      </c>
      <c r="C64" s="63" t="s">
        <v>21</v>
      </c>
      <c r="D64" s="87">
        <v>994000</v>
      </c>
      <c r="E64" s="64">
        <v>0</v>
      </c>
      <c r="F64" s="87">
        <f t="shared" si="23"/>
        <v>994000</v>
      </c>
      <c r="G64" s="63" t="s">
        <v>172</v>
      </c>
      <c r="H64" s="63" t="s">
        <v>170</v>
      </c>
      <c r="I64" s="88">
        <v>45748</v>
      </c>
      <c r="J64" s="88">
        <f>+I64+15</f>
        <v>45763</v>
      </c>
      <c r="K64" s="9" t="s">
        <v>22</v>
      </c>
      <c r="L64" s="88">
        <f>J64+10</f>
        <v>45773</v>
      </c>
      <c r="M64" s="62">
        <v>30</v>
      </c>
      <c r="N64" s="88">
        <f t="shared" si="24"/>
        <v>45803</v>
      </c>
      <c r="O64" s="3" t="s">
        <v>23</v>
      </c>
    </row>
    <row r="65" spans="1:15" s="48" customFormat="1" ht="66" customHeight="1" x14ac:dyDescent="0.3">
      <c r="A65" s="84">
        <v>38</v>
      </c>
      <c r="B65" s="2">
        <v>6057</v>
      </c>
      <c r="C65" s="63" t="s">
        <v>21</v>
      </c>
      <c r="D65" s="87">
        <v>8920750</v>
      </c>
      <c r="E65" s="64">
        <v>0</v>
      </c>
      <c r="F65" s="87">
        <f t="shared" si="23"/>
        <v>8920750</v>
      </c>
      <c r="G65" s="63" t="s">
        <v>204</v>
      </c>
      <c r="H65" s="63" t="s">
        <v>117</v>
      </c>
      <c r="I65" s="89">
        <v>45780</v>
      </c>
      <c r="J65" s="88">
        <f>I65+7</f>
        <v>45787</v>
      </c>
      <c r="K65" s="64" t="s">
        <v>22</v>
      </c>
      <c r="L65" s="88">
        <f t="shared" ref="L65:L70" si="26">J65+30</f>
        <v>45817</v>
      </c>
      <c r="M65" s="64">
        <v>30</v>
      </c>
      <c r="N65" s="88">
        <f t="shared" ref="N65" si="27">L65+M65</f>
        <v>45847</v>
      </c>
      <c r="O65" s="3" t="s">
        <v>23</v>
      </c>
    </row>
    <row r="66" spans="1:15" s="48" customFormat="1" ht="52.5" customHeight="1" x14ac:dyDescent="0.3">
      <c r="A66" s="84">
        <v>39</v>
      </c>
      <c r="B66" s="2">
        <v>6057</v>
      </c>
      <c r="C66" s="63" t="s">
        <v>21</v>
      </c>
      <c r="D66" s="87">
        <v>150824369</v>
      </c>
      <c r="E66" s="64">
        <v>0</v>
      </c>
      <c r="F66" s="87">
        <f t="shared" si="23"/>
        <v>150824369</v>
      </c>
      <c r="G66" s="63" t="s">
        <v>173</v>
      </c>
      <c r="H66" s="63" t="s">
        <v>138</v>
      </c>
      <c r="I66" s="89">
        <v>45691</v>
      </c>
      <c r="J66" s="88">
        <f>I66+7</f>
        <v>45698</v>
      </c>
      <c r="K66" s="64" t="s">
        <v>22</v>
      </c>
      <c r="L66" s="88">
        <f t="shared" si="26"/>
        <v>45728</v>
      </c>
      <c r="M66" s="64">
        <v>30</v>
      </c>
      <c r="N66" s="88">
        <f t="shared" ref="N66:N68" si="28">L66+M66</f>
        <v>45758</v>
      </c>
      <c r="O66" s="3" t="s">
        <v>23</v>
      </c>
    </row>
    <row r="67" spans="1:15" s="48" customFormat="1" ht="54" customHeight="1" x14ac:dyDescent="0.3">
      <c r="A67" s="84">
        <v>40</v>
      </c>
      <c r="B67" s="2">
        <v>6057</v>
      </c>
      <c r="C67" s="63" t="s">
        <v>21</v>
      </c>
      <c r="D67" s="87">
        <v>103250000</v>
      </c>
      <c r="E67" s="64">
        <v>0</v>
      </c>
      <c r="F67" s="87">
        <f t="shared" si="23"/>
        <v>103250000</v>
      </c>
      <c r="G67" s="63" t="s">
        <v>205</v>
      </c>
      <c r="H67" s="63" t="s">
        <v>138</v>
      </c>
      <c r="I67" s="89">
        <v>45698</v>
      </c>
      <c r="J67" s="88">
        <f>I67+7</f>
        <v>45705</v>
      </c>
      <c r="K67" s="64" t="s">
        <v>22</v>
      </c>
      <c r="L67" s="88">
        <f t="shared" si="26"/>
        <v>45735</v>
      </c>
      <c r="M67" s="64">
        <v>30</v>
      </c>
      <c r="N67" s="88">
        <f t="shared" ref="N67" si="29">L67+M67</f>
        <v>45765</v>
      </c>
      <c r="O67" s="3" t="s">
        <v>23</v>
      </c>
    </row>
    <row r="68" spans="1:15" s="48" customFormat="1" ht="42" customHeight="1" x14ac:dyDescent="0.3">
      <c r="A68" s="84">
        <v>41</v>
      </c>
      <c r="B68" s="2">
        <v>6057</v>
      </c>
      <c r="C68" s="63" t="s">
        <v>21</v>
      </c>
      <c r="D68" s="87">
        <v>8441000</v>
      </c>
      <c r="E68" s="64">
        <v>0</v>
      </c>
      <c r="F68" s="87">
        <f t="shared" si="23"/>
        <v>8441000</v>
      </c>
      <c r="G68" s="63" t="s">
        <v>140</v>
      </c>
      <c r="H68" s="63" t="s">
        <v>171</v>
      </c>
      <c r="I68" s="89">
        <v>45787</v>
      </c>
      <c r="J68" s="88">
        <f>I68+7</f>
        <v>45794</v>
      </c>
      <c r="K68" s="64" t="s">
        <v>22</v>
      </c>
      <c r="L68" s="88">
        <f t="shared" si="26"/>
        <v>45824</v>
      </c>
      <c r="M68" s="64">
        <v>30</v>
      </c>
      <c r="N68" s="88">
        <f t="shared" si="28"/>
        <v>45854</v>
      </c>
      <c r="O68" s="3" t="s">
        <v>23</v>
      </c>
    </row>
    <row r="69" spans="1:15" s="48" customFormat="1" ht="42" customHeight="1" x14ac:dyDescent="0.3">
      <c r="A69" s="84">
        <v>42</v>
      </c>
      <c r="B69" s="2">
        <v>6057</v>
      </c>
      <c r="C69" s="63" t="s">
        <v>21</v>
      </c>
      <c r="D69" s="87">
        <v>25000000</v>
      </c>
      <c r="E69" s="64">
        <v>0</v>
      </c>
      <c r="F69" s="87">
        <f t="shared" si="23"/>
        <v>25000000</v>
      </c>
      <c r="G69" s="63" t="s">
        <v>141</v>
      </c>
      <c r="H69" s="63" t="s">
        <v>142</v>
      </c>
      <c r="I69" s="89">
        <v>45727</v>
      </c>
      <c r="J69" s="88">
        <f>I69+7</f>
        <v>45734</v>
      </c>
      <c r="K69" s="64" t="s">
        <v>22</v>
      </c>
      <c r="L69" s="88">
        <f t="shared" si="26"/>
        <v>45764</v>
      </c>
      <c r="M69" s="64">
        <v>30</v>
      </c>
      <c r="N69" s="88">
        <f t="shared" ref="N69:N74" si="30">L69+M69</f>
        <v>45794</v>
      </c>
      <c r="O69" s="3" t="s">
        <v>23</v>
      </c>
    </row>
    <row r="70" spans="1:15" s="48" customFormat="1" ht="71.45" customHeight="1" x14ac:dyDescent="0.3">
      <c r="A70" s="84">
        <v>43</v>
      </c>
      <c r="B70" s="2">
        <v>6057</v>
      </c>
      <c r="C70" s="63" t="s">
        <v>21</v>
      </c>
      <c r="D70" s="87">
        <v>5000000</v>
      </c>
      <c r="E70" s="64">
        <v>0</v>
      </c>
      <c r="F70" s="87">
        <f t="shared" si="23"/>
        <v>5000000</v>
      </c>
      <c r="G70" s="63" t="s">
        <v>143</v>
      </c>
      <c r="H70" s="2" t="s">
        <v>192</v>
      </c>
      <c r="I70" s="88">
        <v>45809</v>
      </c>
      <c r="J70" s="88">
        <f t="shared" ref="J70:J71" si="31">+I70+7</f>
        <v>45816</v>
      </c>
      <c r="K70" s="9" t="s">
        <v>22</v>
      </c>
      <c r="L70" s="88">
        <f t="shared" si="26"/>
        <v>45846</v>
      </c>
      <c r="M70" s="62">
        <v>60</v>
      </c>
      <c r="N70" s="88">
        <f t="shared" si="30"/>
        <v>45906</v>
      </c>
      <c r="O70" s="3" t="s">
        <v>23</v>
      </c>
    </row>
    <row r="71" spans="1:15" s="48" customFormat="1" ht="33" x14ac:dyDescent="0.3">
      <c r="A71" s="84">
        <v>44</v>
      </c>
      <c r="B71" s="2">
        <v>6057</v>
      </c>
      <c r="C71" s="63" t="s">
        <v>21</v>
      </c>
      <c r="D71" s="87">
        <v>5000000</v>
      </c>
      <c r="E71" s="64">
        <v>0</v>
      </c>
      <c r="F71" s="87">
        <f t="shared" si="23"/>
        <v>5000000</v>
      </c>
      <c r="G71" s="63" t="s">
        <v>144</v>
      </c>
      <c r="H71" s="2" t="s">
        <v>189</v>
      </c>
      <c r="I71" s="88">
        <v>45670</v>
      </c>
      <c r="J71" s="88">
        <f t="shared" si="31"/>
        <v>45677</v>
      </c>
      <c r="K71" s="9" t="s">
        <v>22</v>
      </c>
      <c r="L71" s="88">
        <f t="shared" ref="L71:L74" si="32">J71+30</f>
        <v>45707</v>
      </c>
      <c r="M71" s="62">
        <v>60</v>
      </c>
      <c r="N71" s="88">
        <f t="shared" si="30"/>
        <v>45767</v>
      </c>
      <c r="O71" s="3" t="s">
        <v>23</v>
      </c>
    </row>
    <row r="72" spans="1:15" s="48" customFormat="1" ht="42" customHeight="1" x14ac:dyDescent="0.3">
      <c r="A72" s="84">
        <v>45</v>
      </c>
      <c r="B72" s="2">
        <v>6057</v>
      </c>
      <c r="C72" s="63" t="s">
        <v>21</v>
      </c>
      <c r="D72" s="87">
        <v>5000000</v>
      </c>
      <c r="E72" s="64">
        <v>0</v>
      </c>
      <c r="F72" s="87">
        <f t="shared" si="23"/>
        <v>5000000</v>
      </c>
      <c r="G72" s="63" t="s">
        <v>145</v>
      </c>
      <c r="H72" s="63" t="s">
        <v>171</v>
      </c>
      <c r="I72" s="89">
        <v>45699</v>
      </c>
      <c r="J72" s="88">
        <f t="shared" ref="J72:J75" si="33">I72+7</f>
        <v>45706</v>
      </c>
      <c r="K72" s="64" t="s">
        <v>22</v>
      </c>
      <c r="L72" s="88">
        <f t="shared" si="32"/>
        <v>45736</v>
      </c>
      <c r="M72" s="64">
        <v>30</v>
      </c>
      <c r="N72" s="88">
        <f t="shared" si="30"/>
        <v>45766</v>
      </c>
      <c r="O72" s="3" t="s">
        <v>23</v>
      </c>
    </row>
    <row r="73" spans="1:15" s="48" customFormat="1" ht="33" x14ac:dyDescent="0.3">
      <c r="A73" s="84">
        <v>46</v>
      </c>
      <c r="B73" s="2">
        <v>6057</v>
      </c>
      <c r="C73" s="63" t="s">
        <v>21</v>
      </c>
      <c r="D73" s="87">
        <v>5000000</v>
      </c>
      <c r="E73" s="64">
        <v>0</v>
      </c>
      <c r="F73" s="87">
        <f t="shared" si="23"/>
        <v>5000000</v>
      </c>
      <c r="G73" s="63" t="s">
        <v>146</v>
      </c>
      <c r="H73" s="63" t="s">
        <v>171</v>
      </c>
      <c r="I73" s="89">
        <v>45706</v>
      </c>
      <c r="J73" s="88">
        <f t="shared" si="33"/>
        <v>45713</v>
      </c>
      <c r="K73" s="64" t="s">
        <v>22</v>
      </c>
      <c r="L73" s="88">
        <f t="shared" si="32"/>
        <v>45743</v>
      </c>
      <c r="M73" s="64">
        <v>30</v>
      </c>
      <c r="N73" s="88">
        <f t="shared" si="30"/>
        <v>45773</v>
      </c>
      <c r="O73" s="3" t="s">
        <v>23</v>
      </c>
    </row>
    <row r="74" spans="1:15" s="48" customFormat="1" ht="35.450000000000003" customHeight="1" x14ac:dyDescent="0.3">
      <c r="A74" s="84">
        <v>47</v>
      </c>
      <c r="B74" s="2">
        <v>6057</v>
      </c>
      <c r="C74" s="63" t="s">
        <v>21</v>
      </c>
      <c r="D74" s="87">
        <v>15000000</v>
      </c>
      <c r="E74" s="64">
        <v>0</v>
      </c>
      <c r="F74" s="87">
        <f t="shared" si="23"/>
        <v>15000000</v>
      </c>
      <c r="G74" s="63" t="s">
        <v>147</v>
      </c>
      <c r="H74" s="63" t="s">
        <v>171</v>
      </c>
      <c r="I74" s="89">
        <v>45713</v>
      </c>
      <c r="J74" s="88">
        <f t="shared" si="33"/>
        <v>45720</v>
      </c>
      <c r="K74" s="64" t="s">
        <v>22</v>
      </c>
      <c r="L74" s="88">
        <f t="shared" si="32"/>
        <v>45750</v>
      </c>
      <c r="M74" s="64">
        <v>30</v>
      </c>
      <c r="N74" s="88">
        <f t="shared" si="30"/>
        <v>45780</v>
      </c>
      <c r="O74" s="3" t="s">
        <v>23</v>
      </c>
    </row>
    <row r="75" spans="1:15" s="48" customFormat="1" ht="39" customHeight="1" x14ac:dyDescent="0.3">
      <c r="A75" s="84">
        <v>48</v>
      </c>
      <c r="B75" s="2">
        <v>6057</v>
      </c>
      <c r="C75" s="63" t="s">
        <v>21</v>
      </c>
      <c r="D75" s="87">
        <v>15000000</v>
      </c>
      <c r="E75" s="64">
        <v>0</v>
      </c>
      <c r="F75" s="87">
        <f t="shared" ref="F75" si="34">D75-E75</f>
        <v>15000000</v>
      </c>
      <c r="G75" s="63" t="s">
        <v>174</v>
      </c>
      <c r="H75" s="63" t="s">
        <v>171</v>
      </c>
      <c r="I75" s="89">
        <v>45812</v>
      </c>
      <c r="J75" s="88">
        <f t="shared" si="33"/>
        <v>45819</v>
      </c>
      <c r="K75" s="64" t="s">
        <v>22</v>
      </c>
      <c r="L75" s="88">
        <f t="shared" ref="L75" si="35">J75+30</f>
        <v>45849</v>
      </c>
      <c r="M75" s="64">
        <v>30</v>
      </c>
      <c r="N75" s="88">
        <f t="shared" ref="N75" si="36">L75+M75</f>
        <v>45879</v>
      </c>
      <c r="O75" s="3" t="s">
        <v>23</v>
      </c>
    </row>
    <row r="76" spans="1:15" s="48" customFormat="1" ht="66" x14ac:dyDescent="0.3">
      <c r="A76" s="84">
        <v>49</v>
      </c>
      <c r="B76" s="2">
        <v>6057</v>
      </c>
      <c r="C76" s="63" t="s">
        <v>21</v>
      </c>
      <c r="D76" s="87">
        <v>371062500</v>
      </c>
      <c r="E76" s="64">
        <v>0</v>
      </c>
      <c r="F76" s="87">
        <f t="shared" si="23"/>
        <v>371062500</v>
      </c>
      <c r="G76" s="63" t="s">
        <v>139</v>
      </c>
      <c r="H76" s="2" t="s">
        <v>192</v>
      </c>
      <c r="I76" s="88">
        <v>45783</v>
      </c>
      <c r="J76" s="88">
        <f>+I76+7</f>
        <v>45790</v>
      </c>
      <c r="K76" s="9" t="s">
        <v>22</v>
      </c>
      <c r="L76" s="88">
        <f>J76+30</f>
        <v>45820</v>
      </c>
      <c r="M76" s="62">
        <v>60</v>
      </c>
      <c r="N76" s="88">
        <f t="shared" si="24"/>
        <v>45880</v>
      </c>
      <c r="O76" s="3" t="s">
        <v>23</v>
      </c>
    </row>
    <row r="77" spans="1:15" s="48" customFormat="1" ht="42" customHeight="1" x14ac:dyDescent="0.3">
      <c r="A77" s="111" t="s">
        <v>24</v>
      </c>
      <c r="B77" s="111"/>
      <c r="C77" s="111"/>
      <c r="D77" s="8">
        <f>SUM(D60:D76)</f>
        <v>748942619</v>
      </c>
      <c r="E77" s="8">
        <f>SUM(E60:E76)</f>
        <v>0</v>
      </c>
      <c r="F77" s="8">
        <f>SUM(F60:F76)</f>
        <v>748942619</v>
      </c>
      <c r="G77" s="8"/>
      <c r="H77" s="8"/>
      <c r="I77" s="8"/>
      <c r="J77" s="8"/>
      <c r="K77" s="8"/>
      <c r="L77" s="8"/>
      <c r="M77" s="8"/>
      <c r="N77" s="8"/>
      <c r="O77" s="8"/>
    </row>
    <row r="78" spans="1:15" s="48" customFormat="1" ht="42" customHeight="1" x14ac:dyDescent="0.3">
      <c r="A78" s="106" t="s">
        <v>35</v>
      </c>
      <c r="B78" s="106"/>
      <c r="C78" s="106"/>
      <c r="D78" s="106"/>
      <c r="E78" s="106"/>
      <c r="F78" s="106"/>
      <c r="G78" s="106"/>
      <c r="H78" s="106"/>
      <c r="I78" s="106"/>
      <c r="J78" s="106"/>
      <c r="K78" s="106"/>
      <c r="L78" s="106"/>
      <c r="M78" s="106"/>
      <c r="N78" s="106"/>
      <c r="O78" s="106"/>
    </row>
    <row r="79" spans="1:15" s="48" customFormat="1" ht="68.25" customHeight="1" x14ac:dyDescent="0.3">
      <c r="A79" s="6">
        <v>50</v>
      </c>
      <c r="B79" s="6">
        <v>60584600</v>
      </c>
      <c r="C79" s="2" t="s">
        <v>21</v>
      </c>
      <c r="D79" s="10">
        <v>2500000</v>
      </c>
      <c r="E79" s="10">
        <v>0</v>
      </c>
      <c r="F79" s="65">
        <f>D79-E79</f>
        <v>2500000</v>
      </c>
      <c r="G79" s="63" t="s">
        <v>175</v>
      </c>
      <c r="H79" s="63" t="s">
        <v>193</v>
      </c>
      <c r="I79" s="66">
        <v>45672</v>
      </c>
      <c r="J79" s="66">
        <f>+I79+7</f>
        <v>45679</v>
      </c>
      <c r="K79" s="83" t="s">
        <v>22</v>
      </c>
      <c r="L79" s="66">
        <f>+J79+14</f>
        <v>45693</v>
      </c>
      <c r="M79" s="6">
        <v>30</v>
      </c>
      <c r="N79" s="86">
        <f>L79+M79</f>
        <v>45723</v>
      </c>
      <c r="O79" s="3" t="s">
        <v>23</v>
      </c>
    </row>
    <row r="80" spans="1:15" s="48" customFormat="1" ht="42" customHeight="1" x14ac:dyDescent="0.3">
      <c r="A80" s="6">
        <v>51</v>
      </c>
      <c r="B80" s="6" t="s">
        <v>148</v>
      </c>
      <c r="C80" s="2" t="s">
        <v>21</v>
      </c>
      <c r="D80" s="10">
        <v>81700000</v>
      </c>
      <c r="E80" s="10">
        <v>0</v>
      </c>
      <c r="F80" s="65">
        <f t="shared" ref="F80:F83" si="37">D80-E80</f>
        <v>81700000</v>
      </c>
      <c r="G80" s="63" t="s">
        <v>149</v>
      </c>
      <c r="H80" s="63" t="s">
        <v>128</v>
      </c>
      <c r="I80" s="66">
        <v>45733</v>
      </c>
      <c r="J80" s="66">
        <f>+I80+7</f>
        <v>45740</v>
      </c>
      <c r="K80" s="83" t="s">
        <v>22</v>
      </c>
      <c r="L80" s="66">
        <f>+J80+14</f>
        <v>45754</v>
      </c>
      <c r="M80" s="6">
        <v>60</v>
      </c>
      <c r="N80" s="86">
        <f>L80+M80</f>
        <v>45814</v>
      </c>
      <c r="O80" s="3" t="s">
        <v>23</v>
      </c>
    </row>
    <row r="81" spans="1:15" s="102" customFormat="1" ht="48.75" customHeight="1" x14ac:dyDescent="0.3">
      <c r="A81" s="6">
        <v>52</v>
      </c>
      <c r="B81" s="6" t="s">
        <v>148</v>
      </c>
      <c r="C81" s="2" t="s">
        <v>21</v>
      </c>
      <c r="D81" s="10">
        <v>1000000</v>
      </c>
      <c r="E81" s="10">
        <v>0</v>
      </c>
      <c r="F81" s="65">
        <f t="shared" si="37"/>
        <v>1000000</v>
      </c>
      <c r="G81" s="63" t="s">
        <v>127</v>
      </c>
      <c r="H81" s="63" t="s">
        <v>117</v>
      </c>
      <c r="I81" s="66">
        <v>45945</v>
      </c>
      <c r="J81" s="66">
        <f>+I81+7</f>
        <v>45952</v>
      </c>
      <c r="K81" s="83" t="s">
        <v>22</v>
      </c>
      <c r="L81" s="66">
        <f>+J81+14</f>
        <v>45966</v>
      </c>
      <c r="M81" s="6">
        <v>30</v>
      </c>
      <c r="N81" s="86">
        <f>L81+M81</f>
        <v>45996</v>
      </c>
      <c r="O81" s="3" t="s">
        <v>23</v>
      </c>
    </row>
    <row r="82" spans="1:15" s="48" customFormat="1" ht="42" customHeight="1" x14ac:dyDescent="0.3">
      <c r="A82" s="6">
        <v>53</v>
      </c>
      <c r="B82" s="6">
        <v>60584620</v>
      </c>
      <c r="C82" s="2" t="s">
        <v>21</v>
      </c>
      <c r="D82" s="10">
        <v>3500000</v>
      </c>
      <c r="E82" s="10">
        <v>0</v>
      </c>
      <c r="F82" s="65">
        <f t="shared" si="37"/>
        <v>3500000</v>
      </c>
      <c r="G82" s="63" t="s">
        <v>206</v>
      </c>
      <c r="H82" s="63" t="s">
        <v>117</v>
      </c>
      <c r="I82" s="66">
        <v>45673</v>
      </c>
      <c r="J82" s="66">
        <f>+I82+7</f>
        <v>45680</v>
      </c>
      <c r="K82" s="83" t="s">
        <v>22</v>
      </c>
      <c r="L82" s="66">
        <f>+J82+14</f>
        <v>45694</v>
      </c>
      <c r="M82" s="6">
        <v>60</v>
      </c>
      <c r="N82" s="86">
        <f>L82+M82</f>
        <v>45754</v>
      </c>
      <c r="O82" s="3" t="s">
        <v>23</v>
      </c>
    </row>
    <row r="83" spans="1:15" s="61" customFormat="1" ht="33" x14ac:dyDescent="0.3">
      <c r="A83" s="6">
        <v>54</v>
      </c>
      <c r="B83" s="6">
        <v>60584620</v>
      </c>
      <c r="C83" s="2" t="s">
        <v>21</v>
      </c>
      <c r="D83" s="10">
        <v>54000000</v>
      </c>
      <c r="E83" s="10">
        <v>0</v>
      </c>
      <c r="F83" s="65">
        <f t="shared" si="37"/>
        <v>54000000</v>
      </c>
      <c r="G83" s="63" t="s">
        <v>207</v>
      </c>
      <c r="H83" s="63" t="s">
        <v>121</v>
      </c>
      <c r="I83" s="66">
        <v>45726</v>
      </c>
      <c r="J83" s="66">
        <f>+I83+5</f>
        <v>45731</v>
      </c>
      <c r="K83" s="9" t="s">
        <v>22</v>
      </c>
      <c r="L83" s="66">
        <f>+J83+30</f>
        <v>45761</v>
      </c>
      <c r="M83" s="62">
        <v>60</v>
      </c>
      <c r="N83" s="66">
        <f>+L83+M83</f>
        <v>45821</v>
      </c>
      <c r="O83" s="3" t="s">
        <v>23</v>
      </c>
    </row>
    <row r="84" spans="1:15" s="48" customFormat="1" ht="42" customHeight="1" x14ac:dyDescent="0.3">
      <c r="A84" s="111" t="s">
        <v>24</v>
      </c>
      <c r="B84" s="111"/>
      <c r="C84" s="111"/>
      <c r="D84" s="8">
        <f>D83+D82+D81+D80+D79</f>
        <v>142700000</v>
      </c>
      <c r="E84" s="8">
        <f>E83+E82+E81+E80+E79</f>
        <v>0</v>
      </c>
      <c r="F84" s="8">
        <f>F83+F82+F81+F80+F79</f>
        <v>142700000</v>
      </c>
      <c r="G84" s="8"/>
      <c r="H84" s="8"/>
      <c r="I84" s="8"/>
      <c r="J84" s="8"/>
      <c r="K84" s="8"/>
      <c r="L84" s="8"/>
      <c r="M84" s="8"/>
      <c r="N84" s="8"/>
      <c r="O84" s="8"/>
    </row>
    <row r="85" spans="1:15" s="48" customFormat="1" ht="42" customHeight="1" x14ac:dyDescent="0.3">
      <c r="A85" s="106" t="s">
        <v>36</v>
      </c>
      <c r="B85" s="106"/>
      <c r="C85" s="106"/>
      <c r="D85" s="106"/>
      <c r="E85" s="106"/>
      <c r="F85" s="106"/>
      <c r="G85" s="106"/>
      <c r="H85" s="106"/>
      <c r="I85" s="106"/>
      <c r="J85" s="106"/>
      <c r="K85" s="106"/>
      <c r="L85" s="106"/>
      <c r="M85" s="106"/>
      <c r="N85" s="106"/>
      <c r="O85" s="106"/>
    </row>
    <row r="86" spans="1:15" ht="78.75" customHeight="1" x14ac:dyDescent="0.25">
      <c r="A86" s="63">
        <v>55</v>
      </c>
      <c r="B86" s="63">
        <v>65884620</v>
      </c>
      <c r="C86" s="2" t="s">
        <v>21</v>
      </c>
      <c r="D86" s="10">
        <f>250*20000</f>
        <v>5000000</v>
      </c>
      <c r="E86" s="10">
        <v>0</v>
      </c>
      <c r="F86" s="10">
        <f>D86-E86</f>
        <v>5000000</v>
      </c>
      <c r="G86" s="2" t="s">
        <v>176</v>
      </c>
      <c r="H86" s="2" t="s">
        <v>194</v>
      </c>
      <c r="I86" s="66">
        <v>45698</v>
      </c>
      <c r="J86" s="70">
        <f>+I86+7</f>
        <v>45705</v>
      </c>
      <c r="K86" s="68" t="s">
        <v>22</v>
      </c>
      <c r="L86" s="70">
        <f>J86+30</f>
        <v>45735</v>
      </c>
      <c r="M86" s="68">
        <v>60</v>
      </c>
      <c r="N86" s="70">
        <f>L86+M86</f>
        <v>45795</v>
      </c>
      <c r="O86" s="69" t="s">
        <v>23</v>
      </c>
    </row>
    <row r="87" spans="1:15" ht="98.45" customHeight="1" x14ac:dyDescent="0.25">
      <c r="A87" s="63">
        <v>56</v>
      </c>
      <c r="B87" s="63">
        <v>65884610</v>
      </c>
      <c r="C87" s="2" t="s">
        <v>21</v>
      </c>
      <c r="D87" s="10">
        <f>275*100000</f>
        <v>27500000</v>
      </c>
      <c r="E87" s="10">
        <v>0</v>
      </c>
      <c r="F87" s="10">
        <f>D87-E87</f>
        <v>27500000</v>
      </c>
      <c r="G87" s="2" t="s">
        <v>122</v>
      </c>
      <c r="H87" s="2" t="s">
        <v>192</v>
      </c>
      <c r="I87" s="66">
        <v>45706</v>
      </c>
      <c r="J87" s="70">
        <f>+I87+7</f>
        <v>45713</v>
      </c>
      <c r="K87" s="68" t="s">
        <v>22</v>
      </c>
      <c r="L87" s="70">
        <f>J87+30</f>
        <v>45743</v>
      </c>
      <c r="M87" s="68">
        <v>60</v>
      </c>
      <c r="N87" s="70">
        <f>L87+M87</f>
        <v>45803</v>
      </c>
      <c r="O87" s="69" t="s">
        <v>23</v>
      </c>
    </row>
    <row r="88" spans="1:15" s="48" customFormat="1" ht="42" customHeight="1" x14ac:dyDescent="0.3">
      <c r="A88" s="111" t="s">
        <v>24</v>
      </c>
      <c r="B88" s="111"/>
      <c r="C88" s="111"/>
      <c r="D88" s="8">
        <f>D87+D86</f>
        <v>32500000</v>
      </c>
      <c r="E88" s="8">
        <f t="shared" ref="E88:F88" si="38">E87+E86</f>
        <v>0</v>
      </c>
      <c r="F88" s="8">
        <f t="shared" si="38"/>
        <v>32500000</v>
      </c>
      <c r="G88" s="8"/>
      <c r="H88" s="8"/>
      <c r="I88" s="8"/>
      <c r="J88" s="8"/>
      <c r="K88" s="8"/>
      <c r="L88" s="8"/>
      <c r="M88" s="8"/>
      <c r="N88" s="8"/>
      <c r="O88" s="8"/>
    </row>
    <row r="89" spans="1:15" s="48" customFormat="1" ht="42" customHeight="1" x14ac:dyDescent="0.3">
      <c r="A89" s="106" t="s">
        <v>37</v>
      </c>
      <c r="B89" s="106"/>
      <c r="C89" s="106"/>
      <c r="D89" s="106"/>
      <c r="E89" s="106"/>
      <c r="F89" s="106"/>
      <c r="G89" s="106"/>
      <c r="H89" s="106"/>
      <c r="I89" s="106"/>
      <c r="J89" s="106"/>
      <c r="K89" s="106"/>
      <c r="L89" s="106"/>
      <c r="M89" s="106"/>
      <c r="N89" s="106"/>
      <c r="O89" s="106"/>
    </row>
    <row r="90" spans="1:15" s="49" customFormat="1" ht="94.5" customHeight="1" x14ac:dyDescent="0.3">
      <c r="A90" s="2">
        <v>57</v>
      </c>
      <c r="B90" s="63">
        <v>61214600</v>
      </c>
      <c r="C90" s="2" t="s">
        <v>21</v>
      </c>
      <c r="D90" s="10">
        <v>595289930</v>
      </c>
      <c r="E90" s="64">
        <v>0</v>
      </c>
      <c r="F90" s="10">
        <f>D90-E90</f>
        <v>595289930</v>
      </c>
      <c r="G90" s="2" t="s">
        <v>38</v>
      </c>
      <c r="H90" s="2" t="s">
        <v>194</v>
      </c>
      <c r="I90" s="66">
        <v>45663</v>
      </c>
      <c r="J90" s="66">
        <f>+I90+7</f>
        <v>45670</v>
      </c>
      <c r="K90" s="83" t="s">
        <v>22</v>
      </c>
      <c r="L90" s="66">
        <f>+J90+14</f>
        <v>45684</v>
      </c>
      <c r="M90" s="6">
        <v>365</v>
      </c>
      <c r="N90" s="86">
        <v>46022</v>
      </c>
      <c r="O90" s="3" t="s">
        <v>23</v>
      </c>
    </row>
    <row r="91" spans="1:15" ht="99" x14ac:dyDescent="0.25">
      <c r="A91" s="63">
        <v>58</v>
      </c>
      <c r="B91" s="63">
        <v>61814600</v>
      </c>
      <c r="C91" s="63" t="s">
        <v>21</v>
      </c>
      <c r="D91" s="90">
        <v>8000000</v>
      </c>
      <c r="E91" s="64">
        <v>0</v>
      </c>
      <c r="F91" s="10">
        <f>D91-E91</f>
        <v>8000000</v>
      </c>
      <c r="G91" s="2" t="s">
        <v>177</v>
      </c>
      <c r="H91" s="2" t="s">
        <v>194</v>
      </c>
      <c r="I91" s="66">
        <v>45726</v>
      </c>
      <c r="J91" s="66">
        <f>+I91+7</f>
        <v>45733</v>
      </c>
      <c r="K91" s="83" t="s">
        <v>22</v>
      </c>
      <c r="L91" s="66">
        <f>+J91+14</f>
        <v>45747</v>
      </c>
      <c r="M91" s="6">
        <v>365</v>
      </c>
      <c r="N91" s="86">
        <v>46022</v>
      </c>
      <c r="O91" s="3" t="s">
        <v>23</v>
      </c>
    </row>
    <row r="92" spans="1:15" ht="42" customHeight="1" x14ac:dyDescent="0.25">
      <c r="A92" s="111" t="s">
        <v>24</v>
      </c>
      <c r="B92" s="114"/>
      <c r="C92" s="11"/>
      <c r="D92" s="8">
        <f>SUM(D90:D91)</f>
        <v>603289930</v>
      </c>
      <c r="E92" s="8">
        <f>SUM(E90:E91)</f>
        <v>0</v>
      </c>
      <c r="F92" s="8">
        <f>SUM(F90:F91)</f>
        <v>603289930</v>
      </c>
      <c r="G92" s="11"/>
      <c r="H92" s="11"/>
      <c r="I92" s="11"/>
      <c r="J92" s="11"/>
      <c r="K92" s="11"/>
      <c r="L92" s="11"/>
      <c r="M92" s="11"/>
      <c r="N92" s="11"/>
      <c r="O92" s="11"/>
    </row>
    <row r="93" spans="1:15" ht="42" customHeight="1" x14ac:dyDescent="0.25">
      <c r="A93" s="106" t="s">
        <v>39</v>
      </c>
      <c r="B93" s="106"/>
      <c r="C93" s="106"/>
      <c r="D93" s="106"/>
      <c r="E93" s="106"/>
      <c r="F93" s="106"/>
      <c r="G93" s="106"/>
      <c r="H93" s="106"/>
      <c r="I93" s="106"/>
      <c r="J93" s="106"/>
      <c r="K93" s="106"/>
      <c r="L93" s="106"/>
      <c r="M93" s="106"/>
      <c r="N93" s="106"/>
      <c r="O93" s="106"/>
    </row>
    <row r="94" spans="1:15" ht="79.5" customHeight="1" x14ac:dyDescent="0.25">
      <c r="A94" s="91">
        <f>A91+1</f>
        <v>59</v>
      </c>
      <c r="B94" s="63">
        <v>62284600</v>
      </c>
      <c r="C94" s="2" t="s">
        <v>21</v>
      </c>
      <c r="D94" s="90">
        <v>7355000</v>
      </c>
      <c r="E94" s="64">
        <v>0</v>
      </c>
      <c r="F94" s="65">
        <f>D94-E94</f>
        <v>7355000</v>
      </c>
      <c r="G94" s="2" t="s">
        <v>40</v>
      </c>
      <c r="H94" s="63" t="s">
        <v>224</v>
      </c>
      <c r="I94" s="66">
        <v>45663</v>
      </c>
      <c r="J94" s="66">
        <f>+I94+7</f>
        <v>45670</v>
      </c>
      <c r="K94" s="83" t="s">
        <v>22</v>
      </c>
      <c r="L94" s="66">
        <f>+J94+14</f>
        <v>45684</v>
      </c>
      <c r="M94" s="6">
        <v>365</v>
      </c>
      <c r="N94" s="86">
        <v>46022</v>
      </c>
      <c r="O94" s="3" t="s">
        <v>23</v>
      </c>
    </row>
    <row r="95" spans="1:15" ht="79.5" customHeight="1" x14ac:dyDescent="0.25">
      <c r="A95" s="91">
        <v>60</v>
      </c>
      <c r="B95" s="63">
        <v>62284600</v>
      </c>
      <c r="C95" s="2" t="s">
        <v>21</v>
      </c>
      <c r="D95" s="90">
        <v>5150000</v>
      </c>
      <c r="E95" s="64">
        <v>0</v>
      </c>
      <c r="F95" s="65">
        <f>D95-E95</f>
        <v>5150000</v>
      </c>
      <c r="G95" s="2" t="s">
        <v>178</v>
      </c>
      <c r="H95" s="63" t="s">
        <v>224</v>
      </c>
      <c r="I95" s="66">
        <v>45690</v>
      </c>
      <c r="J95" s="66">
        <f>+I95+7</f>
        <v>45697</v>
      </c>
      <c r="K95" s="83" t="s">
        <v>22</v>
      </c>
      <c r="L95" s="66">
        <f>+J95+14</f>
        <v>45711</v>
      </c>
      <c r="M95" s="6">
        <v>365</v>
      </c>
      <c r="N95" s="86">
        <v>46022</v>
      </c>
      <c r="O95" s="3" t="s">
        <v>23</v>
      </c>
    </row>
    <row r="96" spans="1:15" ht="82.5" customHeight="1" x14ac:dyDescent="0.25">
      <c r="A96" s="91">
        <v>61</v>
      </c>
      <c r="B96" s="63">
        <v>62224610</v>
      </c>
      <c r="C96" s="2" t="s">
        <v>21</v>
      </c>
      <c r="D96" s="85">
        <f>388000000+150000000</f>
        <v>538000000</v>
      </c>
      <c r="E96" s="64">
        <v>0</v>
      </c>
      <c r="F96" s="65">
        <f>D96-E96</f>
        <v>538000000</v>
      </c>
      <c r="G96" s="2" t="s">
        <v>41</v>
      </c>
      <c r="H96" s="2" t="s">
        <v>208</v>
      </c>
      <c r="I96" s="66">
        <v>45690</v>
      </c>
      <c r="J96" s="66">
        <f>+I96+7</f>
        <v>45697</v>
      </c>
      <c r="K96" s="83" t="s">
        <v>22</v>
      </c>
      <c r="L96" s="66">
        <f>+J96+14</f>
        <v>45711</v>
      </c>
      <c r="M96" s="6">
        <v>365</v>
      </c>
      <c r="N96" s="86">
        <v>46022</v>
      </c>
      <c r="O96" s="3" t="s">
        <v>23</v>
      </c>
    </row>
    <row r="97" spans="1:15" ht="42" customHeight="1" x14ac:dyDescent="0.25">
      <c r="A97" s="111" t="s">
        <v>24</v>
      </c>
      <c r="B97" s="111"/>
      <c r="C97" s="111"/>
      <c r="D97" s="8">
        <f>D96+D95+D94</f>
        <v>550505000</v>
      </c>
      <c r="E97" s="8">
        <f t="shared" ref="E97:F97" si="39">E96+E95+E94</f>
        <v>0</v>
      </c>
      <c r="F97" s="8">
        <f t="shared" si="39"/>
        <v>550505000</v>
      </c>
      <c r="G97" s="8"/>
      <c r="H97" s="8"/>
      <c r="I97" s="8"/>
      <c r="J97" s="8"/>
      <c r="K97" s="8"/>
      <c r="L97" s="8"/>
      <c r="M97" s="8"/>
      <c r="N97" s="8"/>
      <c r="O97" s="8"/>
    </row>
    <row r="98" spans="1:15" ht="42" customHeight="1" x14ac:dyDescent="0.25">
      <c r="A98" s="106" t="s">
        <v>150</v>
      </c>
      <c r="B98" s="106"/>
      <c r="C98" s="106"/>
      <c r="D98" s="106"/>
      <c r="E98" s="106"/>
      <c r="F98" s="106"/>
      <c r="G98" s="106"/>
      <c r="H98" s="106"/>
      <c r="I98" s="106"/>
      <c r="J98" s="106"/>
      <c r="K98" s="106"/>
      <c r="L98" s="106"/>
      <c r="M98" s="106"/>
      <c r="N98" s="106"/>
      <c r="O98" s="106"/>
    </row>
    <row r="99" spans="1:15" ht="69" customHeight="1" x14ac:dyDescent="0.25">
      <c r="A99" s="84">
        <v>62</v>
      </c>
      <c r="B99" s="2">
        <v>62414600</v>
      </c>
      <c r="C99" s="2" t="s">
        <v>21</v>
      </c>
      <c r="D99" s="90">
        <v>16000000</v>
      </c>
      <c r="E99" s="65">
        <v>0</v>
      </c>
      <c r="F99" s="65">
        <f t="shared" ref="F99:F101" si="40">D99-E99</f>
        <v>16000000</v>
      </c>
      <c r="G99" s="2" t="s">
        <v>42</v>
      </c>
      <c r="H99" s="2" t="s">
        <v>209</v>
      </c>
      <c r="I99" s="66">
        <v>45655</v>
      </c>
      <c r="J99" s="66">
        <f t="shared" ref="J99:J101" si="41">I99+3</f>
        <v>45658</v>
      </c>
      <c r="K99" s="83" t="s">
        <v>22</v>
      </c>
      <c r="L99" s="66">
        <f t="shared" ref="L99:L101" si="42">J99+10</f>
        <v>45668</v>
      </c>
      <c r="M99" s="6">
        <v>365</v>
      </c>
      <c r="N99" s="66">
        <v>45656</v>
      </c>
      <c r="O99" s="3" t="s">
        <v>23</v>
      </c>
    </row>
    <row r="100" spans="1:15" ht="49.5" x14ac:dyDescent="0.25">
      <c r="A100" s="84">
        <v>63</v>
      </c>
      <c r="B100" s="2">
        <v>62414610</v>
      </c>
      <c r="C100" s="2" t="s">
        <v>21</v>
      </c>
      <c r="D100" s="90">
        <v>4500000</v>
      </c>
      <c r="E100" s="65">
        <v>0</v>
      </c>
      <c r="F100" s="65">
        <f t="shared" si="40"/>
        <v>4500000</v>
      </c>
      <c r="G100" s="2" t="s">
        <v>43</v>
      </c>
      <c r="H100" s="2" t="s">
        <v>120</v>
      </c>
      <c r="I100" s="66">
        <v>45670</v>
      </c>
      <c r="J100" s="66">
        <f t="shared" si="41"/>
        <v>45673</v>
      </c>
      <c r="K100" s="83" t="s">
        <v>22</v>
      </c>
      <c r="L100" s="66">
        <f t="shared" si="42"/>
        <v>45683</v>
      </c>
      <c r="M100" s="6">
        <v>365</v>
      </c>
      <c r="N100" s="66">
        <v>45656</v>
      </c>
      <c r="O100" s="3" t="s">
        <v>23</v>
      </c>
    </row>
    <row r="101" spans="1:15" ht="63.75" customHeight="1" x14ac:dyDescent="0.25">
      <c r="A101" s="84">
        <v>64</v>
      </c>
      <c r="B101" s="2">
        <v>62434610</v>
      </c>
      <c r="C101" s="2" t="s">
        <v>21</v>
      </c>
      <c r="D101" s="90">
        <v>8000000</v>
      </c>
      <c r="E101" s="65">
        <v>0</v>
      </c>
      <c r="F101" s="65">
        <f t="shared" si="40"/>
        <v>8000000</v>
      </c>
      <c r="G101" s="2" t="s">
        <v>44</v>
      </c>
      <c r="H101" s="2" t="s">
        <v>120</v>
      </c>
      <c r="I101" s="66">
        <v>45670</v>
      </c>
      <c r="J101" s="66">
        <f t="shared" si="41"/>
        <v>45673</v>
      </c>
      <c r="K101" s="83" t="s">
        <v>22</v>
      </c>
      <c r="L101" s="66">
        <f t="shared" si="42"/>
        <v>45683</v>
      </c>
      <c r="M101" s="6">
        <v>365</v>
      </c>
      <c r="N101" s="66">
        <v>45656</v>
      </c>
      <c r="O101" s="3" t="s">
        <v>23</v>
      </c>
    </row>
    <row r="102" spans="1:15" ht="42" customHeight="1" x14ac:dyDescent="0.25">
      <c r="A102" s="116" t="s">
        <v>24</v>
      </c>
      <c r="B102" s="116"/>
      <c r="C102" s="116"/>
      <c r="D102" s="8">
        <f>D101+D100+D99</f>
        <v>28500000</v>
      </c>
      <c r="E102" s="8">
        <f t="shared" ref="E102:F102" si="43">E101+E100+E99</f>
        <v>0</v>
      </c>
      <c r="F102" s="8">
        <f t="shared" si="43"/>
        <v>28500000</v>
      </c>
      <c r="G102" s="8"/>
      <c r="H102" s="8"/>
      <c r="I102" s="8"/>
      <c r="J102" s="8"/>
      <c r="K102" s="8"/>
      <c r="L102" s="8"/>
      <c r="M102" s="8"/>
      <c r="N102" s="8"/>
      <c r="O102" s="8"/>
    </row>
    <row r="103" spans="1:15" ht="42" customHeight="1" x14ac:dyDescent="0.25">
      <c r="A103" s="106" t="s">
        <v>45</v>
      </c>
      <c r="B103" s="106"/>
      <c r="C103" s="106"/>
      <c r="D103" s="106"/>
      <c r="E103" s="106"/>
      <c r="F103" s="106"/>
      <c r="G103" s="106"/>
      <c r="H103" s="106"/>
      <c r="I103" s="106"/>
      <c r="J103" s="106"/>
      <c r="K103" s="106"/>
      <c r="L103" s="106"/>
      <c r="M103" s="106"/>
      <c r="N103" s="106"/>
      <c r="O103" s="106"/>
    </row>
    <row r="104" spans="1:15" ht="61.15" customHeight="1" x14ac:dyDescent="0.25">
      <c r="A104" s="84">
        <f>A101+1</f>
        <v>65</v>
      </c>
      <c r="B104" s="2">
        <v>62424600</v>
      </c>
      <c r="C104" s="2" t="s">
        <v>21</v>
      </c>
      <c r="D104" s="82">
        <v>4000000</v>
      </c>
      <c r="E104" s="65">
        <v>0</v>
      </c>
      <c r="F104" s="65">
        <f t="shared" ref="F104:F109" si="44">D104-E104</f>
        <v>4000000</v>
      </c>
      <c r="G104" s="2" t="s">
        <v>151</v>
      </c>
      <c r="H104" s="2" t="s">
        <v>123</v>
      </c>
      <c r="I104" s="66">
        <v>45663</v>
      </c>
      <c r="J104" s="66">
        <f>+I104+7</f>
        <v>45670</v>
      </c>
      <c r="K104" s="83" t="s">
        <v>22</v>
      </c>
      <c r="L104" s="66">
        <f t="shared" ref="L104:L109" si="45">J104+30</f>
        <v>45700</v>
      </c>
      <c r="M104" s="6">
        <v>365</v>
      </c>
      <c r="N104" s="66">
        <v>45656</v>
      </c>
      <c r="O104" s="3" t="s">
        <v>23</v>
      </c>
    </row>
    <row r="105" spans="1:15" ht="50.45" customHeight="1" x14ac:dyDescent="0.25">
      <c r="A105" s="84">
        <f>A104+1</f>
        <v>66</v>
      </c>
      <c r="B105" s="2">
        <v>62424600</v>
      </c>
      <c r="C105" s="2" t="s">
        <v>21</v>
      </c>
      <c r="D105" s="82">
        <v>4500000</v>
      </c>
      <c r="E105" s="65">
        <v>0</v>
      </c>
      <c r="F105" s="65">
        <f t="shared" si="44"/>
        <v>4500000</v>
      </c>
      <c r="G105" s="2" t="s">
        <v>46</v>
      </c>
      <c r="H105" s="2" t="s">
        <v>123</v>
      </c>
      <c r="I105" s="66">
        <v>45663</v>
      </c>
      <c r="J105" s="66">
        <f>+I105+7</f>
        <v>45670</v>
      </c>
      <c r="K105" s="83" t="s">
        <v>22</v>
      </c>
      <c r="L105" s="66">
        <f t="shared" si="45"/>
        <v>45700</v>
      </c>
      <c r="M105" s="6">
        <v>365</v>
      </c>
      <c r="N105" s="66">
        <v>45656</v>
      </c>
      <c r="O105" s="3" t="s">
        <v>23</v>
      </c>
    </row>
    <row r="106" spans="1:15" ht="55.9" customHeight="1" x14ac:dyDescent="0.25">
      <c r="A106" s="84">
        <v>67</v>
      </c>
      <c r="B106" s="2">
        <v>62424620</v>
      </c>
      <c r="C106" s="2" t="s">
        <v>21</v>
      </c>
      <c r="D106" s="82">
        <f>1000000</f>
        <v>1000000</v>
      </c>
      <c r="E106" s="65">
        <v>0</v>
      </c>
      <c r="F106" s="65">
        <f t="shared" si="44"/>
        <v>1000000</v>
      </c>
      <c r="G106" s="2" t="s">
        <v>47</v>
      </c>
      <c r="H106" s="2" t="s">
        <v>123</v>
      </c>
      <c r="I106" s="66">
        <v>45663</v>
      </c>
      <c r="J106" s="66">
        <f>+I106+7</f>
        <v>45670</v>
      </c>
      <c r="K106" s="83" t="s">
        <v>22</v>
      </c>
      <c r="L106" s="66">
        <f t="shared" si="45"/>
        <v>45700</v>
      </c>
      <c r="M106" s="6">
        <v>365</v>
      </c>
      <c r="N106" s="66">
        <v>45656</v>
      </c>
      <c r="O106" s="3" t="s">
        <v>23</v>
      </c>
    </row>
    <row r="107" spans="1:15" ht="53.45" customHeight="1" x14ac:dyDescent="0.25">
      <c r="A107" s="84">
        <f t="shared" ref="A107" si="46">A106+1</f>
        <v>68</v>
      </c>
      <c r="B107" s="2">
        <v>6243610</v>
      </c>
      <c r="C107" s="2" t="s">
        <v>21</v>
      </c>
      <c r="D107" s="82">
        <v>6215969</v>
      </c>
      <c r="E107" s="65">
        <v>0</v>
      </c>
      <c r="F107" s="65">
        <f t="shared" si="44"/>
        <v>6215969</v>
      </c>
      <c r="G107" s="2" t="s">
        <v>48</v>
      </c>
      <c r="H107" s="2" t="s">
        <v>123</v>
      </c>
      <c r="I107" s="66">
        <v>45663</v>
      </c>
      <c r="J107" s="66">
        <f>+I107+7</f>
        <v>45670</v>
      </c>
      <c r="K107" s="83" t="s">
        <v>22</v>
      </c>
      <c r="L107" s="66">
        <f t="shared" si="45"/>
        <v>45700</v>
      </c>
      <c r="M107" s="6">
        <v>365</v>
      </c>
      <c r="N107" s="66">
        <v>45656</v>
      </c>
      <c r="O107" s="3" t="s">
        <v>23</v>
      </c>
    </row>
    <row r="108" spans="1:15" ht="47.45" customHeight="1" x14ac:dyDescent="0.25">
      <c r="A108" s="84">
        <v>69</v>
      </c>
      <c r="B108" s="2">
        <v>62434600</v>
      </c>
      <c r="C108" s="2" t="s">
        <v>21</v>
      </c>
      <c r="D108" s="82">
        <v>3000000</v>
      </c>
      <c r="E108" s="65">
        <v>0</v>
      </c>
      <c r="F108" s="65">
        <f t="shared" si="44"/>
        <v>3000000</v>
      </c>
      <c r="G108" s="2" t="s">
        <v>179</v>
      </c>
      <c r="H108" s="2" t="s">
        <v>152</v>
      </c>
      <c r="I108" s="66">
        <v>45670</v>
      </c>
      <c r="J108" s="66">
        <f>+I108+7</f>
        <v>45677</v>
      </c>
      <c r="K108" s="83" t="s">
        <v>22</v>
      </c>
      <c r="L108" s="66">
        <f t="shared" ref="L108" si="47">J108+30</f>
        <v>45707</v>
      </c>
      <c r="M108" s="6">
        <v>365</v>
      </c>
      <c r="N108" s="66">
        <v>45656</v>
      </c>
      <c r="O108" s="3" t="s">
        <v>23</v>
      </c>
    </row>
    <row r="109" spans="1:15" ht="60.6" customHeight="1" x14ac:dyDescent="0.25">
      <c r="A109" s="84">
        <f t="shared" ref="A109" si="48">A108+1</f>
        <v>70</v>
      </c>
      <c r="B109" s="2">
        <v>62424620</v>
      </c>
      <c r="C109" s="2" t="s">
        <v>21</v>
      </c>
      <c r="D109" s="82">
        <v>8000000</v>
      </c>
      <c r="E109" s="65">
        <v>0</v>
      </c>
      <c r="F109" s="65">
        <f t="shared" si="44"/>
        <v>8000000</v>
      </c>
      <c r="G109" s="2" t="s">
        <v>89</v>
      </c>
      <c r="H109" s="2" t="s">
        <v>118</v>
      </c>
      <c r="I109" s="86">
        <v>45748</v>
      </c>
      <c r="J109" s="66">
        <f>I109+7</f>
        <v>45755</v>
      </c>
      <c r="K109" s="65" t="s">
        <v>22</v>
      </c>
      <c r="L109" s="66">
        <f t="shared" si="45"/>
        <v>45785</v>
      </c>
      <c r="M109" s="65">
        <v>365</v>
      </c>
      <c r="N109" s="66">
        <v>45657</v>
      </c>
      <c r="O109" s="31" t="s">
        <v>23</v>
      </c>
    </row>
    <row r="110" spans="1:15" ht="42" customHeight="1" x14ac:dyDescent="0.25">
      <c r="A110" s="116" t="s">
        <v>24</v>
      </c>
      <c r="B110" s="116"/>
      <c r="C110" s="116"/>
      <c r="D110" s="8">
        <f>SUM(D104:D109)</f>
        <v>26715969</v>
      </c>
      <c r="E110" s="8">
        <f t="shared" ref="E110:F110" si="49">SUM(E104:E109)</f>
        <v>0</v>
      </c>
      <c r="F110" s="8">
        <f t="shared" si="49"/>
        <v>26715969</v>
      </c>
      <c r="G110" s="8"/>
      <c r="H110" s="8"/>
      <c r="I110" s="8"/>
      <c r="J110" s="8"/>
      <c r="K110" s="8"/>
      <c r="L110" s="8"/>
      <c r="M110" s="8"/>
      <c r="N110" s="8"/>
      <c r="O110" s="8"/>
    </row>
    <row r="111" spans="1:15" ht="42" customHeight="1" x14ac:dyDescent="0.25">
      <c r="A111" s="106" t="s">
        <v>49</v>
      </c>
      <c r="B111" s="106"/>
      <c r="C111" s="106"/>
      <c r="D111" s="106"/>
      <c r="E111" s="106"/>
      <c r="F111" s="106"/>
      <c r="G111" s="106"/>
      <c r="H111" s="106"/>
      <c r="I111" s="106"/>
      <c r="J111" s="106"/>
      <c r="K111" s="106"/>
      <c r="L111" s="106"/>
      <c r="M111" s="106"/>
      <c r="N111" s="106"/>
      <c r="O111" s="106"/>
    </row>
    <row r="112" spans="1:15" ht="70.150000000000006" customHeight="1" x14ac:dyDescent="0.25">
      <c r="A112" s="84">
        <v>71</v>
      </c>
      <c r="B112" s="2" t="s">
        <v>50</v>
      </c>
      <c r="C112" s="2" t="s">
        <v>21</v>
      </c>
      <c r="D112" s="65">
        <v>4300000</v>
      </c>
      <c r="E112" s="65">
        <v>0</v>
      </c>
      <c r="F112" s="65">
        <f>D112-E112</f>
        <v>4300000</v>
      </c>
      <c r="G112" s="2" t="s">
        <v>51</v>
      </c>
      <c r="H112" s="2" t="s">
        <v>208</v>
      </c>
      <c r="I112" s="66">
        <v>45672</v>
      </c>
      <c r="J112" s="66">
        <f>+I112+7</f>
        <v>45679</v>
      </c>
      <c r="K112" s="9" t="s">
        <v>22</v>
      </c>
      <c r="L112" s="66">
        <f>J112+30</f>
        <v>45709</v>
      </c>
      <c r="M112" s="62">
        <v>365</v>
      </c>
      <c r="N112" s="66">
        <v>46021</v>
      </c>
      <c r="O112" s="3" t="s">
        <v>23</v>
      </c>
    </row>
    <row r="113" spans="1:15" ht="33" x14ac:dyDescent="0.25">
      <c r="A113" s="117">
        <v>72</v>
      </c>
      <c r="B113" s="117" t="s">
        <v>52</v>
      </c>
      <c r="C113" s="117" t="s">
        <v>21</v>
      </c>
      <c r="D113" s="118">
        <v>77000000</v>
      </c>
      <c r="E113" s="118">
        <v>0</v>
      </c>
      <c r="F113" s="118">
        <f t="shared" ref="F113:F115" si="50">D113-E113</f>
        <v>77000000</v>
      </c>
      <c r="G113" s="2" t="s">
        <v>53</v>
      </c>
      <c r="H113" s="119" t="s">
        <v>196</v>
      </c>
      <c r="I113" s="113">
        <v>45672</v>
      </c>
      <c r="J113" s="113">
        <f>+I113+5</f>
        <v>45677</v>
      </c>
      <c r="K113" s="112" t="s">
        <v>22</v>
      </c>
      <c r="L113" s="113">
        <f>J113+30</f>
        <v>45707</v>
      </c>
      <c r="M113" s="114">
        <v>365</v>
      </c>
      <c r="N113" s="113">
        <v>46021</v>
      </c>
      <c r="O113" s="115" t="s">
        <v>23</v>
      </c>
    </row>
    <row r="114" spans="1:15" ht="54.6" customHeight="1" x14ac:dyDescent="0.25">
      <c r="A114" s="117"/>
      <c r="B114" s="117"/>
      <c r="C114" s="117"/>
      <c r="D114" s="118"/>
      <c r="E114" s="118"/>
      <c r="F114" s="118"/>
      <c r="G114" s="2" t="s">
        <v>54</v>
      </c>
      <c r="H114" s="119"/>
      <c r="I114" s="113"/>
      <c r="J114" s="113"/>
      <c r="K114" s="112"/>
      <c r="L114" s="113"/>
      <c r="M114" s="114"/>
      <c r="N114" s="113"/>
      <c r="O114" s="115"/>
    </row>
    <row r="115" spans="1:15" ht="42" customHeight="1" x14ac:dyDescent="0.25">
      <c r="A115" s="117">
        <v>73</v>
      </c>
      <c r="B115" s="117" t="s">
        <v>55</v>
      </c>
      <c r="C115" s="117" t="s">
        <v>21</v>
      </c>
      <c r="D115" s="118">
        <v>68820000</v>
      </c>
      <c r="E115" s="118">
        <v>0</v>
      </c>
      <c r="F115" s="118">
        <f t="shared" si="50"/>
        <v>68820000</v>
      </c>
      <c r="G115" s="92" t="s">
        <v>124</v>
      </c>
      <c r="H115" s="119" t="s">
        <v>197</v>
      </c>
      <c r="I115" s="113">
        <v>45691</v>
      </c>
      <c r="J115" s="113">
        <f>I115+5</f>
        <v>45696</v>
      </c>
      <c r="K115" s="112" t="s">
        <v>22</v>
      </c>
      <c r="L115" s="113">
        <f>J115+30</f>
        <v>45726</v>
      </c>
      <c r="M115" s="114">
        <v>60</v>
      </c>
      <c r="N115" s="113">
        <f>L115+M115</f>
        <v>45786</v>
      </c>
      <c r="O115" s="115" t="s">
        <v>23</v>
      </c>
    </row>
    <row r="116" spans="1:15" ht="42" customHeight="1" x14ac:dyDescent="0.25">
      <c r="A116" s="117"/>
      <c r="B116" s="117"/>
      <c r="C116" s="117"/>
      <c r="D116" s="118"/>
      <c r="E116" s="118"/>
      <c r="F116" s="118"/>
      <c r="G116" s="92" t="s">
        <v>125</v>
      </c>
      <c r="H116" s="119"/>
      <c r="I116" s="113"/>
      <c r="J116" s="113"/>
      <c r="K116" s="112"/>
      <c r="L116" s="113"/>
      <c r="M116" s="114"/>
      <c r="N116" s="113"/>
      <c r="O116" s="115"/>
    </row>
    <row r="117" spans="1:15" ht="75.599999999999994" customHeight="1" x14ac:dyDescent="0.25">
      <c r="A117" s="6">
        <v>74</v>
      </c>
      <c r="B117" s="63">
        <v>65884620</v>
      </c>
      <c r="C117" s="2" t="s">
        <v>21</v>
      </c>
      <c r="D117" s="10">
        <v>41350000</v>
      </c>
      <c r="E117" s="10">
        <v>0</v>
      </c>
      <c r="F117" s="10">
        <f>D117-E117</f>
        <v>41350000</v>
      </c>
      <c r="G117" s="92" t="s">
        <v>126</v>
      </c>
      <c r="H117" s="2" t="s">
        <v>198</v>
      </c>
      <c r="I117" s="86">
        <v>45717</v>
      </c>
      <c r="J117" s="86">
        <f>I117+5</f>
        <v>45722</v>
      </c>
      <c r="K117" s="83" t="s">
        <v>22</v>
      </c>
      <c r="L117" s="86">
        <f>J117+30</f>
        <v>45752</v>
      </c>
      <c r="M117" s="6">
        <v>30</v>
      </c>
      <c r="N117" s="86">
        <f>L117+M117</f>
        <v>45782</v>
      </c>
      <c r="O117" s="3" t="s">
        <v>23</v>
      </c>
    </row>
    <row r="118" spans="1:15" ht="42" customHeight="1" x14ac:dyDescent="0.25">
      <c r="A118" s="111" t="s">
        <v>24</v>
      </c>
      <c r="B118" s="114"/>
      <c r="C118" s="51"/>
      <c r="D118" s="8">
        <f>D117+D115+D113+D112</f>
        <v>191470000</v>
      </c>
      <c r="E118" s="8">
        <f t="shared" ref="E118:F118" si="51">E117+E115+E113+E112</f>
        <v>0</v>
      </c>
      <c r="F118" s="8">
        <f t="shared" si="51"/>
        <v>191470000</v>
      </c>
      <c r="G118" s="50"/>
      <c r="H118" s="50"/>
      <c r="I118" s="51"/>
      <c r="J118" s="51"/>
      <c r="K118" s="11"/>
      <c r="L118" s="11"/>
      <c r="M118" s="11"/>
      <c r="N118" s="11"/>
      <c r="O118" s="11"/>
    </row>
    <row r="119" spans="1:15" ht="42" customHeight="1" x14ac:dyDescent="0.25">
      <c r="A119" s="106" t="s">
        <v>56</v>
      </c>
      <c r="B119" s="106"/>
      <c r="C119" s="106"/>
      <c r="D119" s="106"/>
      <c r="E119" s="106"/>
      <c r="F119" s="106"/>
      <c r="G119" s="106"/>
      <c r="H119" s="106"/>
      <c r="I119" s="106"/>
      <c r="J119" s="106"/>
      <c r="K119" s="106"/>
      <c r="L119" s="106"/>
      <c r="M119" s="106"/>
      <c r="N119" s="106"/>
      <c r="O119" s="106"/>
    </row>
    <row r="120" spans="1:15" ht="71.45" customHeight="1" x14ac:dyDescent="0.25">
      <c r="A120" s="63">
        <f>A117+1</f>
        <v>75</v>
      </c>
      <c r="B120" s="63">
        <v>62524600</v>
      </c>
      <c r="C120" s="2" t="s">
        <v>21</v>
      </c>
      <c r="D120" s="87">
        <v>25800000</v>
      </c>
      <c r="E120" s="64">
        <v>0</v>
      </c>
      <c r="F120" s="65">
        <f>D120-E120</f>
        <v>25800000</v>
      </c>
      <c r="G120" s="63" t="s">
        <v>57</v>
      </c>
      <c r="H120" s="2" t="s">
        <v>208</v>
      </c>
      <c r="I120" s="66">
        <v>45766</v>
      </c>
      <c r="J120" s="66">
        <f>+I120+7</f>
        <v>45773</v>
      </c>
      <c r="K120" s="83" t="s">
        <v>22</v>
      </c>
      <c r="L120" s="66">
        <f>+J120+14</f>
        <v>45787</v>
      </c>
      <c r="M120" s="6">
        <v>365</v>
      </c>
      <c r="N120" s="86">
        <v>46022</v>
      </c>
      <c r="O120" s="3" t="s">
        <v>23</v>
      </c>
    </row>
    <row r="121" spans="1:15" ht="69" customHeight="1" x14ac:dyDescent="0.25">
      <c r="A121" s="63">
        <f>A120+1</f>
        <v>76</v>
      </c>
      <c r="B121" s="63">
        <v>62514600</v>
      </c>
      <c r="C121" s="2" t="s">
        <v>21</v>
      </c>
      <c r="D121" s="87">
        <v>8000000</v>
      </c>
      <c r="E121" s="64">
        <v>0</v>
      </c>
      <c r="F121" s="65">
        <f>D121-E121</f>
        <v>8000000</v>
      </c>
      <c r="G121" s="63" t="s">
        <v>58</v>
      </c>
      <c r="H121" s="2" t="s">
        <v>208</v>
      </c>
      <c r="I121" s="66">
        <v>45891</v>
      </c>
      <c r="J121" s="66">
        <f>+I121+7</f>
        <v>45898</v>
      </c>
      <c r="K121" s="83" t="s">
        <v>22</v>
      </c>
      <c r="L121" s="66">
        <f>+J121+14</f>
        <v>45912</v>
      </c>
      <c r="M121" s="6">
        <v>365</v>
      </c>
      <c r="N121" s="86">
        <v>46022</v>
      </c>
      <c r="O121" s="3" t="s">
        <v>23</v>
      </c>
    </row>
    <row r="122" spans="1:15" ht="42" customHeight="1" x14ac:dyDescent="0.25">
      <c r="A122" s="111" t="s">
        <v>24</v>
      </c>
      <c r="B122" s="111"/>
      <c r="C122" s="111"/>
      <c r="D122" s="8">
        <f>D121+D120</f>
        <v>33800000</v>
      </c>
      <c r="E122" s="8">
        <f t="shared" ref="E122:F122" si="52">E121+E120</f>
        <v>0</v>
      </c>
      <c r="F122" s="8">
        <f t="shared" si="52"/>
        <v>33800000</v>
      </c>
      <c r="G122" s="7"/>
      <c r="H122" s="7"/>
      <c r="I122" s="7"/>
      <c r="J122" s="7"/>
      <c r="K122" s="7"/>
      <c r="L122" s="7"/>
      <c r="M122" s="7"/>
      <c r="N122" s="7"/>
      <c r="O122" s="7"/>
    </row>
    <row r="123" spans="1:15" ht="42" customHeight="1" x14ac:dyDescent="0.25">
      <c r="A123" s="106" t="s">
        <v>59</v>
      </c>
      <c r="B123" s="106"/>
      <c r="C123" s="106"/>
      <c r="D123" s="106"/>
      <c r="E123" s="106"/>
      <c r="F123" s="106"/>
      <c r="G123" s="106"/>
      <c r="H123" s="106"/>
      <c r="I123" s="106"/>
      <c r="J123" s="106"/>
      <c r="K123" s="106"/>
      <c r="L123" s="106"/>
      <c r="M123" s="106"/>
      <c r="N123" s="106"/>
      <c r="O123" s="106"/>
    </row>
    <row r="124" spans="1:15" ht="71.25" customHeight="1" x14ac:dyDescent="0.25">
      <c r="A124" s="2">
        <f>A121+1</f>
        <v>77</v>
      </c>
      <c r="B124" s="2">
        <v>62654600</v>
      </c>
      <c r="C124" s="2" t="s">
        <v>21</v>
      </c>
      <c r="D124" s="65">
        <v>3500000</v>
      </c>
      <c r="E124" s="65">
        <v>0</v>
      </c>
      <c r="F124" s="65">
        <f>D124-E124</f>
        <v>3500000</v>
      </c>
      <c r="G124" s="2" t="s">
        <v>60</v>
      </c>
      <c r="H124" s="2" t="s">
        <v>123</v>
      </c>
      <c r="I124" s="66">
        <v>45663</v>
      </c>
      <c r="J124" s="66">
        <f>+I124+7</f>
        <v>45670</v>
      </c>
      <c r="K124" s="83" t="s">
        <v>22</v>
      </c>
      <c r="L124" s="66">
        <f>J124+30</f>
        <v>45700</v>
      </c>
      <c r="M124" s="6">
        <v>365</v>
      </c>
      <c r="N124" s="66">
        <v>45656</v>
      </c>
      <c r="O124" s="3" t="s">
        <v>23</v>
      </c>
    </row>
    <row r="125" spans="1:15" ht="42" customHeight="1" x14ac:dyDescent="0.25">
      <c r="A125" s="111" t="s">
        <v>24</v>
      </c>
      <c r="B125" s="111"/>
      <c r="C125" s="111"/>
      <c r="D125" s="8">
        <f>SUM(D124:D124)</f>
        <v>3500000</v>
      </c>
      <c r="E125" s="8">
        <f>SUM(E124:E124)</f>
        <v>0</v>
      </c>
      <c r="F125" s="8">
        <f>SUM(F124:F124)</f>
        <v>3500000</v>
      </c>
      <c r="G125" s="7"/>
      <c r="H125" s="7"/>
      <c r="I125" s="7"/>
      <c r="J125" s="7"/>
      <c r="K125" s="7"/>
      <c r="L125" s="7"/>
      <c r="M125" s="7"/>
      <c r="N125" s="7"/>
      <c r="O125" s="7"/>
    </row>
    <row r="126" spans="1:15" ht="42" customHeight="1" x14ac:dyDescent="0.25">
      <c r="A126" s="106" t="s">
        <v>61</v>
      </c>
      <c r="B126" s="106"/>
      <c r="C126" s="106"/>
      <c r="D126" s="106"/>
      <c r="E126" s="106"/>
      <c r="F126" s="106"/>
      <c r="G126" s="106"/>
      <c r="H126" s="106"/>
      <c r="I126" s="106"/>
      <c r="J126" s="106"/>
      <c r="K126" s="106"/>
      <c r="L126" s="106"/>
      <c r="M126" s="106"/>
      <c r="N126" s="106"/>
      <c r="O126" s="106"/>
    </row>
    <row r="127" spans="1:15" ht="81" customHeight="1" x14ac:dyDescent="0.25">
      <c r="A127" s="10">
        <v>78</v>
      </c>
      <c r="B127" s="10">
        <v>6271</v>
      </c>
      <c r="C127" s="2" t="s">
        <v>21</v>
      </c>
      <c r="D127" s="65">
        <v>13084000</v>
      </c>
      <c r="E127" s="65">
        <v>0</v>
      </c>
      <c r="F127" s="65">
        <f>D127-E127</f>
        <v>13084000</v>
      </c>
      <c r="G127" s="10" t="s">
        <v>62</v>
      </c>
      <c r="H127" s="2" t="s">
        <v>208</v>
      </c>
      <c r="I127" s="66">
        <v>45663</v>
      </c>
      <c r="J127" s="66">
        <f>+I127+7</f>
        <v>45670</v>
      </c>
      <c r="K127" s="83" t="s">
        <v>22</v>
      </c>
      <c r="L127" s="66">
        <f>+J127+30</f>
        <v>45700</v>
      </c>
      <c r="M127" s="6">
        <v>365</v>
      </c>
      <c r="N127" s="66">
        <v>46021</v>
      </c>
      <c r="O127" s="3" t="s">
        <v>23</v>
      </c>
    </row>
    <row r="128" spans="1:15" ht="77.45" customHeight="1" x14ac:dyDescent="0.25">
      <c r="A128" s="10">
        <v>79</v>
      </c>
      <c r="B128" s="2">
        <v>6271</v>
      </c>
      <c r="C128" s="2" t="s">
        <v>21</v>
      </c>
      <c r="D128" s="65">
        <v>10000000</v>
      </c>
      <c r="E128" s="65">
        <v>0</v>
      </c>
      <c r="F128" s="65">
        <f>D128-E128</f>
        <v>10000000</v>
      </c>
      <c r="G128" s="2" t="s">
        <v>63</v>
      </c>
      <c r="H128" s="2" t="s">
        <v>208</v>
      </c>
      <c r="I128" s="66">
        <v>45664</v>
      </c>
      <c r="J128" s="66">
        <f>+I128+10</f>
        <v>45674</v>
      </c>
      <c r="K128" s="83" t="s">
        <v>22</v>
      </c>
      <c r="L128" s="66">
        <f>+J128+10</f>
        <v>45684</v>
      </c>
      <c r="M128" s="6">
        <v>365</v>
      </c>
      <c r="N128" s="66">
        <v>46021</v>
      </c>
      <c r="O128" s="3" t="s">
        <v>23</v>
      </c>
    </row>
    <row r="129" spans="1:15" ht="66.75" customHeight="1" x14ac:dyDescent="0.25">
      <c r="A129" s="10">
        <v>80</v>
      </c>
      <c r="B129" s="2">
        <v>6272</v>
      </c>
      <c r="C129" s="2" t="s">
        <v>21</v>
      </c>
      <c r="D129" s="65">
        <v>5000000</v>
      </c>
      <c r="E129" s="65">
        <v>0</v>
      </c>
      <c r="F129" s="65">
        <f>D129-E129</f>
        <v>5000000</v>
      </c>
      <c r="G129" s="2" t="s">
        <v>64</v>
      </c>
      <c r="H129" s="2" t="s">
        <v>116</v>
      </c>
      <c r="I129" s="66">
        <v>45732</v>
      </c>
      <c r="J129" s="66">
        <f>I129+3</f>
        <v>45735</v>
      </c>
      <c r="K129" s="10" t="s">
        <v>22</v>
      </c>
      <c r="L129" s="66">
        <f>J129+30</f>
        <v>45765</v>
      </c>
      <c r="M129" s="10">
        <v>21</v>
      </c>
      <c r="N129" s="66">
        <f>L129+M129</f>
        <v>45786</v>
      </c>
      <c r="O129" s="3" t="s">
        <v>23</v>
      </c>
    </row>
    <row r="130" spans="1:15" ht="66.75" customHeight="1" x14ac:dyDescent="0.25">
      <c r="A130" s="10">
        <v>81</v>
      </c>
      <c r="B130" s="2">
        <v>6272</v>
      </c>
      <c r="C130" s="2" t="s">
        <v>21</v>
      </c>
      <c r="D130" s="65">
        <f>400000+225000</f>
        <v>625000</v>
      </c>
      <c r="E130" s="65">
        <v>0</v>
      </c>
      <c r="F130" s="65">
        <f>D130-E130</f>
        <v>625000</v>
      </c>
      <c r="G130" s="2" t="s">
        <v>210</v>
      </c>
      <c r="H130" s="2" t="s">
        <v>119</v>
      </c>
      <c r="I130" s="66">
        <v>45764</v>
      </c>
      <c r="J130" s="66">
        <f>I130+3</f>
        <v>45767</v>
      </c>
      <c r="K130" s="10" t="s">
        <v>22</v>
      </c>
      <c r="L130" s="66">
        <f>J130+30</f>
        <v>45797</v>
      </c>
      <c r="M130" s="10">
        <v>15</v>
      </c>
      <c r="N130" s="66">
        <f>L130+M130</f>
        <v>45812</v>
      </c>
      <c r="O130" s="3" t="s">
        <v>23</v>
      </c>
    </row>
    <row r="131" spans="1:15" ht="54" customHeight="1" x14ac:dyDescent="0.25">
      <c r="A131" s="10">
        <v>82</v>
      </c>
      <c r="B131" s="2">
        <v>6272</v>
      </c>
      <c r="C131" s="2" t="s">
        <v>21</v>
      </c>
      <c r="D131" s="65">
        <v>4080000</v>
      </c>
      <c r="E131" s="94">
        <v>0</v>
      </c>
      <c r="F131" s="65">
        <f>D131-E131</f>
        <v>4080000</v>
      </c>
      <c r="G131" s="2" t="s">
        <v>153</v>
      </c>
      <c r="H131" s="2" t="s">
        <v>116</v>
      </c>
      <c r="I131" s="66">
        <v>45689</v>
      </c>
      <c r="J131" s="66">
        <f>I131+3</f>
        <v>45692</v>
      </c>
      <c r="K131" s="83" t="s">
        <v>22</v>
      </c>
      <c r="L131" s="66">
        <f>J131+30</f>
        <v>45722</v>
      </c>
      <c r="M131" s="6">
        <v>30</v>
      </c>
      <c r="N131" s="66">
        <f>L131+M131</f>
        <v>45752</v>
      </c>
      <c r="O131" s="3" t="s">
        <v>23</v>
      </c>
    </row>
    <row r="132" spans="1:15" ht="42" customHeight="1" x14ac:dyDescent="0.25">
      <c r="A132" s="108" t="s">
        <v>24</v>
      </c>
      <c r="B132" s="108"/>
      <c r="C132" s="108"/>
      <c r="D132" s="7">
        <f>SUM(D127:D131)</f>
        <v>32789000</v>
      </c>
      <c r="E132" s="7">
        <f t="shared" ref="E132:F132" si="53">SUM(E127:E131)</f>
        <v>0</v>
      </c>
      <c r="F132" s="7">
        <f t="shared" si="53"/>
        <v>32789000</v>
      </c>
      <c r="G132" s="7"/>
      <c r="H132" s="7"/>
      <c r="I132" s="7"/>
      <c r="J132" s="7"/>
      <c r="K132" s="7"/>
      <c r="L132" s="7"/>
      <c r="M132" s="7"/>
      <c r="N132" s="7"/>
      <c r="O132" s="7"/>
    </row>
    <row r="133" spans="1:15" ht="42" customHeight="1" x14ac:dyDescent="0.25">
      <c r="A133" s="106" t="s">
        <v>65</v>
      </c>
      <c r="B133" s="106"/>
      <c r="C133" s="106"/>
      <c r="D133" s="106"/>
      <c r="E133" s="106"/>
      <c r="F133" s="106"/>
      <c r="G133" s="106"/>
      <c r="H133" s="106"/>
      <c r="I133" s="106"/>
      <c r="J133" s="106"/>
      <c r="K133" s="106"/>
      <c r="L133" s="106"/>
      <c r="M133" s="106"/>
      <c r="N133" s="106"/>
      <c r="O133" s="106"/>
    </row>
    <row r="134" spans="1:15" ht="83.25" customHeight="1" x14ac:dyDescent="0.25">
      <c r="A134" s="10">
        <v>83</v>
      </c>
      <c r="B134" s="2">
        <v>62884620</v>
      </c>
      <c r="C134" s="2" t="s">
        <v>21</v>
      </c>
      <c r="D134" s="65">
        <v>2475504</v>
      </c>
      <c r="E134" s="65">
        <v>0</v>
      </c>
      <c r="F134" s="65">
        <f>D134-E134</f>
        <v>2475504</v>
      </c>
      <c r="G134" s="2" t="s">
        <v>180</v>
      </c>
      <c r="H134" s="2" t="s">
        <v>208</v>
      </c>
      <c r="I134" s="66">
        <v>45719</v>
      </c>
      <c r="J134" s="66">
        <f>I134+7</f>
        <v>45726</v>
      </c>
      <c r="K134" s="83" t="s">
        <v>22</v>
      </c>
      <c r="L134" s="66">
        <f>J134+30</f>
        <v>45756</v>
      </c>
      <c r="M134" s="6">
        <v>21</v>
      </c>
      <c r="N134" s="66">
        <f>L134+M134</f>
        <v>45777</v>
      </c>
      <c r="O134" s="3" t="s">
        <v>23</v>
      </c>
    </row>
    <row r="135" spans="1:15" ht="102" customHeight="1" x14ac:dyDescent="0.25">
      <c r="A135" s="10">
        <v>84</v>
      </c>
      <c r="B135" s="2">
        <v>62884620</v>
      </c>
      <c r="C135" s="2" t="s">
        <v>21</v>
      </c>
      <c r="D135" s="65">
        <v>25000000</v>
      </c>
      <c r="E135" s="65">
        <v>0</v>
      </c>
      <c r="F135" s="65">
        <f>D135-E135</f>
        <v>25000000</v>
      </c>
      <c r="G135" s="2" t="s">
        <v>66</v>
      </c>
      <c r="H135" s="2" t="s">
        <v>211</v>
      </c>
      <c r="I135" s="66">
        <v>45902</v>
      </c>
      <c r="J135" s="66">
        <f>I135+7</f>
        <v>45909</v>
      </c>
      <c r="K135" s="83" t="s">
        <v>22</v>
      </c>
      <c r="L135" s="66">
        <f>J135+30</f>
        <v>45939</v>
      </c>
      <c r="M135" s="6">
        <v>30</v>
      </c>
      <c r="N135" s="66">
        <f>+L135+M135</f>
        <v>45969</v>
      </c>
      <c r="O135" s="3" t="s">
        <v>23</v>
      </c>
    </row>
    <row r="136" spans="1:15" ht="66" x14ac:dyDescent="0.25">
      <c r="A136" s="10">
        <f t="shared" ref="A136:A137" si="54">A135+1</f>
        <v>85</v>
      </c>
      <c r="B136" s="2">
        <v>62884620</v>
      </c>
      <c r="C136" s="2" t="s">
        <v>21</v>
      </c>
      <c r="D136" s="65">
        <v>3973752</v>
      </c>
      <c r="E136" s="65">
        <v>0</v>
      </c>
      <c r="F136" s="65">
        <f>D136-E136</f>
        <v>3973752</v>
      </c>
      <c r="G136" s="2" t="s">
        <v>154</v>
      </c>
      <c r="H136" s="2" t="s">
        <v>208</v>
      </c>
      <c r="I136" s="66">
        <v>45663</v>
      </c>
      <c r="J136" s="66">
        <f>+I136+7</f>
        <v>45670</v>
      </c>
      <c r="K136" s="83" t="s">
        <v>22</v>
      </c>
      <c r="L136" s="66">
        <f>J136+30</f>
        <v>45700</v>
      </c>
      <c r="M136" s="6">
        <v>365</v>
      </c>
      <c r="N136" s="66">
        <v>45656</v>
      </c>
      <c r="O136" s="3" t="s">
        <v>23</v>
      </c>
    </row>
    <row r="137" spans="1:15" ht="82.5" x14ac:dyDescent="0.25">
      <c r="A137" s="10">
        <f t="shared" si="54"/>
        <v>86</v>
      </c>
      <c r="B137" s="2">
        <v>62884600</v>
      </c>
      <c r="C137" s="2" t="s">
        <v>21</v>
      </c>
      <c r="D137" s="65">
        <v>1500000</v>
      </c>
      <c r="E137" s="65">
        <v>0</v>
      </c>
      <c r="F137" s="65">
        <f>D137-E137</f>
        <v>1500000</v>
      </c>
      <c r="G137" s="2" t="s">
        <v>67</v>
      </c>
      <c r="H137" s="2" t="s">
        <v>211</v>
      </c>
      <c r="I137" s="66">
        <v>45663</v>
      </c>
      <c r="J137" s="66">
        <f>+I137+7</f>
        <v>45670</v>
      </c>
      <c r="K137" s="83" t="s">
        <v>22</v>
      </c>
      <c r="L137" s="66">
        <f>J137+30</f>
        <v>45700</v>
      </c>
      <c r="M137" s="6">
        <v>365</v>
      </c>
      <c r="N137" s="66">
        <v>45656</v>
      </c>
      <c r="O137" s="3" t="s">
        <v>23</v>
      </c>
    </row>
    <row r="138" spans="1:15" ht="42" customHeight="1" x14ac:dyDescent="0.25">
      <c r="A138" s="107" t="s">
        <v>24</v>
      </c>
      <c r="B138" s="107"/>
      <c r="C138" s="107"/>
      <c r="D138" s="7">
        <f>SUM(D134:D137)</f>
        <v>32949256</v>
      </c>
      <c r="E138" s="7">
        <f t="shared" ref="E138:F138" si="55">SUM(E134:E137)</f>
        <v>0</v>
      </c>
      <c r="F138" s="7">
        <f t="shared" si="55"/>
        <v>32949256</v>
      </c>
      <c r="G138" s="7"/>
      <c r="H138" s="7"/>
      <c r="I138" s="7"/>
      <c r="J138" s="7"/>
      <c r="K138" s="7"/>
      <c r="L138" s="7"/>
      <c r="M138" s="7"/>
      <c r="N138" s="7"/>
      <c r="O138" s="7"/>
    </row>
    <row r="139" spans="1:15" ht="42" customHeight="1" x14ac:dyDescent="0.25">
      <c r="A139" s="106" t="s">
        <v>68</v>
      </c>
      <c r="B139" s="106"/>
      <c r="C139" s="106"/>
      <c r="D139" s="106"/>
      <c r="E139" s="106"/>
      <c r="F139" s="106"/>
      <c r="G139" s="106"/>
      <c r="H139" s="106"/>
      <c r="I139" s="106"/>
      <c r="J139" s="106"/>
      <c r="K139" s="106"/>
      <c r="L139" s="106"/>
      <c r="M139" s="106"/>
      <c r="N139" s="106"/>
      <c r="O139" s="106"/>
    </row>
    <row r="140" spans="1:15" ht="42" customHeight="1" x14ac:dyDescent="0.25">
      <c r="A140" s="10">
        <v>87</v>
      </c>
      <c r="B140" s="2">
        <v>63244620</v>
      </c>
      <c r="C140" s="2" t="s">
        <v>21</v>
      </c>
      <c r="D140" s="10">
        <v>5000000</v>
      </c>
      <c r="E140" s="10">
        <v>0</v>
      </c>
      <c r="F140" s="65">
        <f t="shared" ref="F140:F142" si="56">D140-E140</f>
        <v>5000000</v>
      </c>
      <c r="G140" s="2" t="s">
        <v>69</v>
      </c>
      <c r="H140" s="2" t="s">
        <v>70</v>
      </c>
      <c r="I140" s="66">
        <v>45871</v>
      </c>
      <c r="J140" s="66">
        <f>+I140+10</f>
        <v>45881</v>
      </c>
      <c r="K140" s="83" t="s">
        <v>22</v>
      </c>
      <c r="L140" s="66">
        <f>+J140+10</f>
        <v>45891</v>
      </c>
      <c r="M140" s="6">
        <v>365</v>
      </c>
      <c r="N140" s="66">
        <v>46021</v>
      </c>
      <c r="O140" s="3" t="s">
        <v>23</v>
      </c>
    </row>
    <row r="141" spans="1:15" ht="102.6" customHeight="1" x14ac:dyDescent="0.25">
      <c r="A141" s="10">
        <f t="shared" ref="A141:A142" si="57">+A140+1</f>
        <v>88</v>
      </c>
      <c r="B141" s="2">
        <v>63244610</v>
      </c>
      <c r="C141" s="2" t="s">
        <v>21</v>
      </c>
      <c r="D141" s="10">
        <v>50000000</v>
      </c>
      <c r="E141" s="10">
        <v>0</v>
      </c>
      <c r="F141" s="65">
        <f t="shared" si="56"/>
        <v>50000000</v>
      </c>
      <c r="G141" s="2" t="s">
        <v>212</v>
      </c>
      <c r="H141" s="2" t="s">
        <v>213</v>
      </c>
      <c r="I141" s="66">
        <v>45717</v>
      </c>
      <c r="J141" s="66">
        <f>+I141+7</f>
        <v>45724</v>
      </c>
      <c r="K141" s="83" t="s">
        <v>22</v>
      </c>
      <c r="L141" s="66">
        <f>+J141+30</f>
        <v>45754</v>
      </c>
      <c r="M141" s="6">
        <v>365</v>
      </c>
      <c r="N141" s="66">
        <v>46021</v>
      </c>
      <c r="O141" s="3" t="s">
        <v>23</v>
      </c>
    </row>
    <row r="142" spans="1:15" ht="69" customHeight="1" x14ac:dyDescent="0.25">
      <c r="A142" s="10">
        <f t="shared" si="57"/>
        <v>89</v>
      </c>
      <c r="B142" s="2">
        <v>63314600</v>
      </c>
      <c r="C142" s="2" t="s">
        <v>21</v>
      </c>
      <c r="D142" s="10">
        <f>48000000+20000000</f>
        <v>68000000</v>
      </c>
      <c r="E142" s="10">
        <v>0</v>
      </c>
      <c r="F142" s="65">
        <f t="shared" si="56"/>
        <v>68000000</v>
      </c>
      <c r="G142" s="2" t="s">
        <v>215</v>
      </c>
      <c r="H142" s="2" t="s">
        <v>214</v>
      </c>
      <c r="I142" s="66">
        <v>45663</v>
      </c>
      <c r="J142" s="66">
        <f>+I142+7</f>
        <v>45670</v>
      </c>
      <c r="K142" s="83" t="s">
        <v>22</v>
      </c>
      <c r="L142" s="66">
        <f>+J142+30</f>
        <v>45700</v>
      </c>
      <c r="M142" s="6">
        <v>365</v>
      </c>
      <c r="N142" s="66">
        <v>46021</v>
      </c>
      <c r="O142" s="3" t="s">
        <v>23</v>
      </c>
    </row>
    <row r="143" spans="1:15" ht="42" customHeight="1" x14ac:dyDescent="0.25">
      <c r="A143" s="108" t="s">
        <v>24</v>
      </c>
      <c r="B143" s="108"/>
      <c r="C143" s="108"/>
      <c r="D143" s="7">
        <f>+D142+D141+D140</f>
        <v>123000000</v>
      </c>
      <c r="E143" s="7">
        <f t="shared" ref="E143:F143" si="58">+E142+E141+E140</f>
        <v>0</v>
      </c>
      <c r="F143" s="7">
        <f t="shared" si="58"/>
        <v>123000000</v>
      </c>
      <c r="G143" s="7"/>
      <c r="H143" s="7"/>
      <c r="I143" s="7"/>
      <c r="J143" s="7"/>
      <c r="K143" s="7"/>
      <c r="L143" s="7"/>
      <c r="M143" s="7"/>
      <c r="N143" s="7"/>
      <c r="O143" s="7"/>
    </row>
    <row r="144" spans="1:15" ht="42" customHeight="1" x14ac:dyDescent="0.25">
      <c r="A144" s="106" t="s">
        <v>71</v>
      </c>
      <c r="B144" s="106"/>
      <c r="C144" s="106"/>
      <c r="D144" s="106"/>
      <c r="E144" s="106"/>
      <c r="F144" s="106"/>
      <c r="G144" s="106"/>
      <c r="H144" s="106"/>
      <c r="I144" s="106"/>
      <c r="J144" s="106"/>
      <c r="K144" s="106"/>
      <c r="L144" s="106"/>
      <c r="M144" s="106"/>
      <c r="N144" s="106"/>
      <c r="O144" s="106"/>
    </row>
    <row r="145" spans="1:15" ht="42" customHeight="1" x14ac:dyDescent="0.25">
      <c r="A145" s="93">
        <f>A142+1</f>
        <v>90</v>
      </c>
      <c r="B145" s="6">
        <v>63434620</v>
      </c>
      <c r="C145" s="2" t="s">
        <v>21</v>
      </c>
      <c r="D145" s="10">
        <v>2500000</v>
      </c>
      <c r="E145" s="65">
        <v>0</v>
      </c>
      <c r="F145" s="65">
        <f>D145-E145</f>
        <v>2500000</v>
      </c>
      <c r="G145" s="2" t="s">
        <v>72</v>
      </c>
      <c r="H145" s="63" t="s">
        <v>116</v>
      </c>
      <c r="I145" s="66">
        <v>45672</v>
      </c>
      <c r="J145" s="66">
        <f>+I145+3</f>
        <v>45675</v>
      </c>
      <c r="K145" s="9" t="s">
        <v>22</v>
      </c>
      <c r="L145" s="66">
        <f t="shared" ref="L145:L151" si="59">J145+30</f>
        <v>45705</v>
      </c>
      <c r="M145" s="62">
        <v>30</v>
      </c>
      <c r="N145" s="66">
        <f>L145+M145</f>
        <v>45735</v>
      </c>
      <c r="O145" s="3" t="s">
        <v>23</v>
      </c>
    </row>
    <row r="146" spans="1:15" ht="71.45" customHeight="1" x14ac:dyDescent="0.25">
      <c r="A146" s="93">
        <v>91</v>
      </c>
      <c r="B146" s="6">
        <v>63434620</v>
      </c>
      <c r="C146" s="2" t="s">
        <v>21</v>
      </c>
      <c r="D146" s="65">
        <v>8300000</v>
      </c>
      <c r="E146" s="65">
        <v>0</v>
      </c>
      <c r="F146" s="65">
        <f>D146-E146</f>
        <v>8300000</v>
      </c>
      <c r="G146" s="85" t="s">
        <v>73</v>
      </c>
      <c r="H146" s="2" t="s">
        <v>214</v>
      </c>
      <c r="I146" s="66">
        <v>45718</v>
      </c>
      <c r="J146" s="66">
        <f>I146+7</f>
        <v>45725</v>
      </c>
      <c r="K146" s="9" t="s">
        <v>22</v>
      </c>
      <c r="L146" s="66">
        <f t="shared" si="59"/>
        <v>45755</v>
      </c>
      <c r="M146" s="62">
        <v>30</v>
      </c>
      <c r="N146" s="66">
        <f>L146+M146</f>
        <v>45785</v>
      </c>
      <c r="O146" s="3" t="s">
        <v>23</v>
      </c>
    </row>
    <row r="147" spans="1:15" ht="71.45" customHeight="1" x14ac:dyDescent="0.25">
      <c r="A147" s="93">
        <v>92</v>
      </c>
      <c r="B147" s="6">
        <v>63434620</v>
      </c>
      <c r="C147" s="2" t="s">
        <v>21</v>
      </c>
      <c r="D147" s="65">
        <v>1000000</v>
      </c>
      <c r="E147" s="65">
        <v>0</v>
      </c>
      <c r="F147" s="65">
        <f>D147-E147</f>
        <v>1000000</v>
      </c>
      <c r="G147" s="85" t="s">
        <v>156</v>
      </c>
      <c r="H147" s="2" t="s">
        <v>214</v>
      </c>
      <c r="I147" s="66">
        <v>45663</v>
      </c>
      <c r="J147" s="66">
        <f>I147+7</f>
        <v>45670</v>
      </c>
      <c r="K147" s="9" t="s">
        <v>22</v>
      </c>
      <c r="L147" s="66">
        <f t="shared" si="59"/>
        <v>45700</v>
      </c>
      <c r="M147" s="62">
        <v>360</v>
      </c>
      <c r="N147" s="66">
        <v>46021</v>
      </c>
      <c r="O147" s="3" t="s">
        <v>23</v>
      </c>
    </row>
    <row r="148" spans="1:15" ht="71.45" customHeight="1" x14ac:dyDescent="0.25">
      <c r="A148" s="93">
        <v>93</v>
      </c>
      <c r="B148" s="6">
        <v>63434620</v>
      </c>
      <c r="C148" s="2" t="s">
        <v>21</v>
      </c>
      <c r="D148" s="65">
        <v>1000000</v>
      </c>
      <c r="E148" s="65">
        <v>0</v>
      </c>
      <c r="F148" s="65">
        <f t="shared" ref="F148:F149" si="60">D148-E148</f>
        <v>1000000</v>
      </c>
      <c r="G148" s="85" t="s">
        <v>181</v>
      </c>
      <c r="H148" s="2" t="s">
        <v>214</v>
      </c>
      <c r="I148" s="66">
        <v>45663</v>
      </c>
      <c r="J148" s="66">
        <f>I148+7</f>
        <v>45670</v>
      </c>
      <c r="K148" s="9" t="s">
        <v>22</v>
      </c>
      <c r="L148" s="66">
        <f t="shared" si="59"/>
        <v>45700</v>
      </c>
      <c r="M148" s="62">
        <v>360</v>
      </c>
      <c r="N148" s="66">
        <v>46021</v>
      </c>
      <c r="O148" s="3" t="s">
        <v>23</v>
      </c>
    </row>
    <row r="149" spans="1:15" ht="71.45" customHeight="1" x14ac:dyDescent="0.25">
      <c r="A149" s="93">
        <v>94</v>
      </c>
      <c r="B149" s="6">
        <v>63434620</v>
      </c>
      <c r="C149" s="2" t="s">
        <v>21</v>
      </c>
      <c r="D149" s="65">
        <v>1000000</v>
      </c>
      <c r="E149" s="65">
        <v>0</v>
      </c>
      <c r="F149" s="65">
        <f t="shared" si="60"/>
        <v>1000000</v>
      </c>
      <c r="G149" s="85" t="s">
        <v>182</v>
      </c>
      <c r="H149" s="2" t="s">
        <v>214</v>
      </c>
      <c r="I149" s="66">
        <v>45663</v>
      </c>
      <c r="J149" s="66">
        <f>I149+7</f>
        <v>45670</v>
      </c>
      <c r="K149" s="9" t="s">
        <v>22</v>
      </c>
      <c r="L149" s="66">
        <f t="shared" si="59"/>
        <v>45700</v>
      </c>
      <c r="M149" s="62">
        <v>360</v>
      </c>
      <c r="N149" s="66">
        <v>46021</v>
      </c>
      <c r="O149" s="3" t="s">
        <v>23</v>
      </c>
    </row>
    <row r="150" spans="1:15" ht="71.45" customHeight="1" x14ac:dyDescent="0.25">
      <c r="A150" s="93">
        <v>95</v>
      </c>
      <c r="B150" s="6">
        <v>63434620</v>
      </c>
      <c r="C150" s="2" t="s">
        <v>21</v>
      </c>
      <c r="D150" s="65">
        <v>5500000</v>
      </c>
      <c r="E150" s="65">
        <v>0</v>
      </c>
      <c r="F150" s="65">
        <f>D150-E150</f>
        <v>5500000</v>
      </c>
      <c r="G150" s="85" t="s">
        <v>157</v>
      </c>
      <c r="H150" s="63" t="s">
        <v>116</v>
      </c>
      <c r="I150" s="66">
        <v>45724</v>
      </c>
      <c r="J150" s="66">
        <f>+I150+3</f>
        <v>45727</v>
      </c>
      <c r="K150" s="9" t="s">
        <v>22</v>
      </c>
      <c r="L150" s="66">
        <f t="shared" si="59"/>
        <v>45757</v>
      </c>
      <c r="M150" s="62">
        <v>30</v>
      </c>
      <c r="N150" s="66">
        <f>L150+M150</f>
        <v>45787</v>
      </c>
      <c r="O150" s="3" t="s">
        <v>23</v>
      </c>
    </row>
    <row r="151" spans="1:15" ht="49.5" customHeight="1" x14ac:dyDescent="0.25">
      <c r="A151" s="93">
        <v>96</v>
      </c>
      <c r="B151" s="6">
        <v>63434620</v>
      </c>
      <c r="C151" s="2" t="s">
        <v>21</v>
      </c>
      <c r="D151" s="10">
        <v>1000000</v>
      </c>
      <c r="E151" s="94">
        <v>0</v>
      </c>
      <c r="F151" s="65">
        <f>D151-E151</f>
        <v>1000000</v>
      </c>
      <c r="G151" s="85" t="s">
        <v>155</v>
      </c>
      <c r="H151" s="63" t="s">
        <v>116</v>
      </c>
      <c r="I151" s="66">
        <v>45731</v>
      </c>
      <c r="J151" s="66">
        <f>+I151+3</f>
        <v>45734</v>
      </c>
      <c r="K151" s="9" t="s">
        <v>22</v>
      </c>
      <c r="L151" s="66">
        <f t="shared" si="59"/>
        <v>45764</v>
      </c>
      <c r="M151" s="62">
        <v>30</v>
      </c>
      <c r="N151" s="66">
        <f>L151+M151</f>
        <v>45794</v>
      </c>
      <c r="O151" s="3" t="s">
        <v>23</v>
      </c>
    </row>
    <row r="152" spans="1:15" ht="42" customHeight="1" x14ac:dyDescent="0.25">
      <c r="A152" s="109" t="s">
        <v>24</v>
      </c>
      <c r="B152" s="109"/>
      <c r="C152" s="109"/>
      <c r="D152" s="14">
        <f>SUM(D145:D151)</f>
        <v>20300000</v>
      </c>
      <c r="E152" s="14">
        <f>SUM(E145:E151)</f>
        <v>0</v>
      </c>
      <c r="F152" s="14">
        <f>SUM(F145:F151)</f>
        <v>20300000</v>
      </c>
      <c r="G152" s="52"/>
      <c r="H152" s="53"/>
      <c r="I152" s="53"/>
      <c r="J152" s="53"/>
      <c r="K152" s="53"/>
      <c r="L152" s="53"/>
      <c r="M152" s="53"/>
      <c r="N152" s="53"/>
      <c r="O152" s="5"/>
    </row>
    <row r="153" spans="1:15" ht="42" customHeight="1" x14ac:dyDescent="0.25">
      <c r="A153" s="104" t="s">
        <v>74</v>
      </c>
      <c r="B153" s="104"/>
      <c r="C153" s="104"/>
      <c r="D153" s="104"/>
      <c r="E153" s="104"/>
      <c r="F153" s="104"/>
      <c r="G153" s="104"/>
      <c r="H153" s="104"/>
      <c r="I153" s="104"/>
      <c r="J153" s="104"/>
      <c r="K153" s="104"/>
      <c r="L153" s="104"/>
      <c r="M153" s="104"/>
      <c r="N153" s="104"/>
      <c r="O153" s="104"/>
    </row>
    <row r="154" spans="1:15" ht="45" x14ac:dyDescent="0.25">
      <c r="A154" s="12">
        <f>A151+1</f>
        <v>97</v>
      </c>
      <c r="B154" s="71">
        <v>63724600</v>
      </c>
      <c r="C154" s="67" t="s">
        <v>21</v>
      </c>
      <c r="D154" s="13">
        <v>35000000</v>
      </c>
      <c r="E154" s="13">
        <v>0</v>
      </c>
      <c r="F154" s="68">
        <f>D154-E154</f>
        <v>35000000</v>
      </c>
      <c r="G154" s="71" t="s">
        <v>75</v>
      </c>
      <c r="H154" s="71" t="s">
        <v>199</v>
      </c>
      <c r="I154" s="70">
        <v>45663</v>
      </c>
      <c r="J154" s="70">
        <f>+I154+5</f>
        <v>45668</v>
      </c>
      <c r="K154" s="79" t="s">
        <v>22</v>
      </c>
      <c r="L154" s="70">
        <f>I154+30</f>
        <v>45693</v>
      </c>
      <c r="M154" s="74">
        <v>365</v>
      </c>
      <c r="N154" s="70">
        <v>45656</v>
      </c>
      <c r="O154" s="73" t="s">
        <v>23</v>
      </c>
    </row>
    <row r="155" spans="1:15" ht="42" customHeight="1" x14ac:dyDescent="0.25">
      <c r="A155" s="109" t="s">
        <v>24</v>
      </c>
      <c r="B155" s="109"/>
      <c r="C155" s="109"/>
      <c r="D155" s="14">
        <f>SUM(D154:D154)</f>
        <v>35000000</v>
      </c>
      <c r="E155" s="14">
        <f>SUM(E154:E154)</f>
        <v>0</v>
      </c>
      <c r="F155" s="14">
        <f>SUM(F154:F154)</f>
        <v>35000000</v>
      </c>
      <c r="G155" s="14"/>
      <c r="H155" s="15"/>
      <c r="I155" s="15"/>
      <c r="J155" s="16"/>
      <c r="K155" s="16"/>
      <c r="L155" s="5"/>
      <c r="M155" s="5"/>
      <c r="N155" s="5"/>
      <c r="O155" s="5"/>
    </row>
    <row r="156" spans="1:15" ht="42" customHeight="1" x14ac:dyDescent="0.25">
      <c r="A156" s="104" t="s">
        <v>76</v>
      </c>
      <c r="B156" s="104"/>
      <c r="C156" s="104"/>
      <c r="D156" s="104"/>
      <c r="E156" s="104"/>
      <c r="F156" s="104"/>
      <c r="G156" s="104"/>
      <c r="H156" s="104"/>
      <c r="I156" s="104"/>
      <c r="J156" s="104"/>
      <c r="K156" s="104"/>
      <c r="L156" s="104"/>
      <c r="M156" s="104"/>
      <c r="N156" s="104"/>
      <c r="O156" s="104"/>
    </row>
    <row r="157" spans="1:15" ht="76.5" customHeight="1" x14ac:dyDescent="0.25">
      <c r="A157" s="12">
        <v>98</v>
      </c>
      <c r="B157" s="71">
        <v>6381</v>
      </c>
      <c r="C157" s="67" t="s">
        <v>21</v>
      </c>
      <c r="D157" s="13">
        <v>7000000</v>
      </c>
      <c r="E157" s="13">
        <v>0</v>
      </c>
      <c r="F157" s="68">
        <f t="shared" ref="F157:F158" si="61">D157-E157</f>
        <v>7000000</v>
      </c>
      <c r="G157" s="71" t="s">
        <v>183</v>
      </c>
      <c r="H157" s="67" t="s">
        <v>225</v>
      </c>
      <c r="I157" s="70">
        <v>45782</v>
      </c>
      <c r="J157" s="70">
        <f>+I157+7</f>
        <v>45789</v>
      </c>
      <c r="K157" s="79" t="s">
        <v>22</v>
      </c>
      <c r="L157" s="70">
        <f>J157+30</f>
        <v>45819</v>
      </c>
      <c r="M157" s="74">
        <v>60</v>
      </c>
      <c r="N157" s="70">
        <f>M157+L157</f>
        <v>45879</v>
      </c>
      <c r="O157" s="73" t="s">
        <v>23</v>
      </c>
    </row>
    <row r="158" spans="1:15" ht="61.5" customHeight="1" x14ac:dyDescent="0.25">
      <c r="A158" s="12">
        <v>99</v>
      </c>
      <c r="B158" s="71">
        <v>6383</v>
      </c>
      <c r="C158" s="67" t="s">
        <v>21</v>
      </c>
      <c r="D158" s="13">
        <v>13562500</v>
      </c>
      <c r="E158" s="13">
        <v>0</v>
      </c>
      <c r="F158" s="68">
        <f t="shared" si="61"/>
        <v>13562500</v>
      </c>
      <c r="G158" s="71" t="s">
        <v>216</v>
      </c>
      <c r="H158" s="67" t="s">
        <v>118</v>
      </c>
      <c r="I158" s="70">
        <v>45663</v>
      </c>
      <c r="J158" s="70">
        <f>+I158+3</f>
        <v>45666</v>
      </c>
      <c r="K158" s="79" t="s">
        <v>22</v>
      </c>
      <c r="L158" s="70">
        <f>J158+30</f>
        <v>45696</v>
      </c>
      <c r="M158" s="74">
        <v>365</v>
      </c>
      <c r="N158" s="70">
        <v>46021</v>
      </c>
      <c r="O158" s="73" t="s">
        <v>23</v>
      </c>
    </row>
    <row r="159" spans="1:15" ht="42" customHeight="1" x14ac:dyDescent="0.25">
      <c r="A159" s="109" t="s">
        <v>24</v>
      </c>
      <c r="B159" s="109"/>
      <c r="C159" s="109"/>
      <c r="D159" s="14">
        <f>SUM(D157:D158)</f>
        <v>20562500</v>
      </c>
      <c r="E159" s="14">
        <f>SUM(E157:E158)</f>
        <v>0</v>
      </c>
      <c r="F159" s="14">
        <f>SUM(F157:F158)</f>
        <v>20562500</v>
      </c>
      <c r="G159" s="14"/>
      <c r="H159" s="15"/>
      <c r="I159" s="15"/>
      <c r="J159" s="16"/>
      <c r="K159" s="16"/>
      <c r="L159" s="5"/>
      <c r="M159" s="5"/>
      <c r="N159" s="5"/>
      <c r="O159" s="5"/>
    </row>
    <row r="160" spans="1:15" ht="42" customHeight="1" x14ac:dyDescent="0.25">
      <c r="A160" s="104" t="s">
        <v>77</v>
      </c>
      <c r="B160" s="104"/>
      <c r="C160" s="104"/>
      <c r="D160" s="104"/>
      <c r="E160" s="104"/>
      <c r="F160" s="104"/>
      <c r="G160" s="104"/>
      <c r="H160" s="104"/>
      <c r="I160" s="104"/>
      <c r="J160" s="104"/>
      <c r="K160" s="104"/>
      <c r="L160" s="104"/>
      <c r="M160" s="104"/>
      <c r="N160" s="104"/>
      <c r="O160" s="104"/>
    </row>
    <row r="161" spans="1:15" ht="30" x14ac:dyDescent="0.25">
      <c r="A161" s="99">
        <v>100</v>
      </c>
      <c r="B161" s="67">
        <v>6582</v>
      </c>
      <c r="C161" s="67" t="s">
        <v>21</v>
      </c>
      <c r="D161" s="95">
        <v>15000000</v>
      </c>
      <c r="E161" s="95">
        <v>0</v>
      </c>
      <c r="F161" s="68">
        <f>D161-E161</f>
        <v>15000000</v>
      </c>
      <c r="G161" s="73" t="s">
        <v>78</v>
      </c>
      <c r="H161" s="71" t="s">
        <v>116</v>
      </c>
      <c r="I161" s="70">
        <v>45809</v>
      </c>
      <c r="J161" s="70">
        <f>+I161+3</f>
        <v>45812</v>
      </c>
      <c r="K161" s="79" t="s">
        <v>22</v>
      </c>
      <c r="L161" s="70">
        <f>+J161+30</f>
        <v>45842</v>
      </c>
      <c r="M161" s="74">
        <v>30</v>
      </c>
      <c r="N161" s="70">
        <f>L161+M161</f>
        <v>45872</v>
      </c>
      <c r="O161" s="73" t="s">
        <v>23</v>
      </c>
    </row>
    <row r="162" spans="1:15" ht="42" customHeight="1" x14ac:dyDescent="0.25">
      <c r="A162" s="109" t="s">
        <v>24</v>
      </c>
      <c r="B162" s="109"/>
      <c r="C162" s="109"/>
      <c r="D162" s="14">
        <f>SUM(D161:D161)</f>
        <v>15000000</v>
      </c>
      <c r="E162" s="14">
        <f>SUM(E161:E161)</f>
        <v>0</v>
      </c>
      <c r="F162" s="14">
        <f>SUM(F161:F161)</f>
        <v>15000000</v>
      </c>
      <c r="G162" s="15"/>
      <c r="H162" s="15"/>
      <c r="I162" s="16"/>
      <c r="J162" s="16"/>
      <c r="K162" s="16"/>
      <c r="L162" s="16"/>
      <c r="M162" s="16"/>
      <c r="N162" s="16"/>
      <c r="O162" s="16"/>
    </row>
    <row r="163" spans="1:15" ht="42" customHeight="1" x14ac:dyDescent="0.25">
      <c r="A163" s="106" t="s">
        <v>79</v>
      </c>
      <c r="B163" s="106"/>
      <c r="C163" s="106"/>
      <c r="D163" s="106"/>
      <c r="E163" s="106"/>
      <c r="F163" s="106"/>
      <c r="G163" s="106"/>
      <c r="H163" s="106"/>
      <c r="I163" s="106"/>
      <c r="J163" s="106"/>
      <c r="K163" s="106"/>
      <c r="L163" s="106"/>
      <c r="M163" s="106"/>
      <c r="N163" s="106"/>
      <c r="O163" s="106"/>
    </row>
    <row r="164" spans="1:15" ht="82.15" customHeight="1" x14ac:dyDescent="0.25">
      <c r="A164" s="62">
        <v>101</v>
      </c>
      <c r="B164" s="63">
        <v>6685</v>
      </c>
      <c r="C164" s="2" t="s">
        <v>21</v>
      </c>
      <c r="D164" s="10">
        <v>66444486</v>
      </c>
      <c r="E164" s="10">
        <v>0</v>
      </c>
      <c r="F164" s="65">
        <f>D164-E164</f>
        <v>66444486</v>
      </c>
      <c r="G164" s="2" t="s">
        <v>80</v>
      </c>
      <c r="H164" s="2" t="s">
        <v>214</v>
      </c>
      <c r="I164" s="66">
        <v>45839</v>
      </c>
      <c r="J164" s="66">
        <f>+I164+7</f>
        <v>45846</v>
      </c>
      <c r="K164" s="9" t="s">
        <v>22</v>
      </c>
      <c r="L164" s="66">
        <f>J164+30</f>
        <v>45876</v>
      </c>
      <c r="M164" s="62">
        <v>30</v>
      </c>
      <c r="N164" s="66">
        <f>M164+L164</f>
        <v>45906</v>
      </c>
      <c r="O164" s="3" t="s">
        <v>23</v>
      </c>
    </row>
    <row r="165" spans="1:15" ht="42" customHeight="1" x14ac:dyDescent="0.25">
      <c r="A165" s="105" t="s">
        <v>24</v>
      </c>
      <c r="B165" s="105"/>
      <c r="C165" s="105"/>
      <c r="D165" s="7">
        <f>SUM(D164:D164)</f>
        <v>66444486</v>
      </c>
      <c r="E165" s="7">
        <f>SUM(E164:E164)</f>
        <v>0</v>
      </c>
      <c r="F165" s="7">
        <f>SUM(F164:F164)</f>
        <v>66444486</v>
      </c>
      <c r="G165" s="8"/>
      <c r="H165" s="7"/>
      <c r="I165" s="11"/>
      <c r="J165" s="11"/>
      <c r="K165" s="8"/>
      <c r="L165" s="8"/>
      <c r="M165" s="8"/>
      <c r="N165" s="8"/>
      <c r="O165" s="8"/>
    </row>
    <row r="166" spans="1:15" ht="42" customHeight="1" x14ac:dyDescent="0.25">
      <c r="A166" s="110" t="s">
        <v>81</v>
      </c>
      <c r="B166" s="110"/>
      <c r="C166" s="110"/>
      <c r="D166" s="17">
        <f>D165+D162+D159+D155+D152+D143+D138+D132+D125+D122+D118+D110+D102+D97+D92+D88+D84+D77+D58+D52+D47+D43+D40+D37</f>
        <v>54153073210</v>
      </c>
      <c r="E166" s="17">
        <f>E165+E162+E159+E155+E152+E143+E138+E132+E125+E122+E118+E110+E102+E97+E92+E88+E84+E77+E58+E52+E47+E43+E40+E37</f>
        <v>0</v>
      </c>
      <c r="F166" s="17">
        <f>F165+F162+F159+F155+F152+F143+F138+F132+F125+F122+F118+F110+F102+F97+F92+F88+F84+F77+F58+F52+F47+F43+F40+F37</f>
        <v>54153073210</v>
      </c>
      <c r="G166" s="18"/>
      <c r="H166" s="18"/>
      <c r="I166" s="18"/>
      <c r="J166" s="18"/>
      <c r="K166" s="18"/>
      <c r="L166" s="18"/>
      <c r="M166" s="18"/>
      <c r="N166" s="18"/>
      <c r="O166" s="18"/>
    </row>
    <row r="167" spans="1:15" ht="42" customHeight="1" x14ac:dyDescent="0.25">
      <c r="A167" s="106" t="s">
        <v>82</v>
      </c>
      <c r="B167" s="106"/>
      <c r="C167" s="106"/>
      <c r="D167" s="106"/>
      <c r="E167" s="106"/>
      <c r="F167" s="106"/>
      <c r="G167" s="106"/>
      <c r="H167" s="106"/>
      <c r="I167" s="106"/>
      <c r="J167" s="106"/>
      <c r="K167" s="106"/>
      <c r="L167" s="106"/>
      <c r="M167" s="106"/>
      <c r="N167" s="106"/>
      <c r="O167" s="106"/>
    </row>
    <row r="168" spans="1:15" ht="42" customHeight="1" x14ac:dyDescent="0.25">
      <c r="A168" s="106" t="s">
        <v>83</v>
      </c>
      <c r="B168" s="106"/>
      <c r="C168" s="106"/>
      <c r="D168" s="106"/>
      <c r="E168" s="106"/>
      <c r="F168" s="106"/>
      <c r="G168" s="106"/>
      <c r="H168" s="106"/>
      <c r="I168" s="106"/>
      <c r="J168" s="106"/>
      <c r="K168" s="106"/>
      <c r="L168" s="106"/>
      <c r="M168" s="106"/>
      <c r="N168" s="106"/>
      <c r="O168" s="106"/>
    </row>
    <row r="169" spans="1:15" ht="60" customHeight="1" x14ac:dyDescent="0.25">
      <c r="A169" s="2">
        <v>102</v>
      </c>
      <c r="B169" s="2">
        <v>2131</v>
      </c>
      <c r="C169" s="2" t="s">
        <v>21</v>
      </c>
      <c r="D169" s="100">
        <v>21507956</v>
      </c>
      <c r="E169" s="10">
        <v>0</v>
      </c>
      <c r="F169" s="100">
        <f>D169-E169</f>
        <v>21507956</v>
      </c>
      <c r="G169" s="2" t="s">
        <v>158</v>
      </c>
      <c r="H169" s="2" t="s">
        <v>142</v>
      </c>
      <c r="I169" s="66">
        <v>45717</v>
      </c>
      <c r="J169" s="66">
        <f>I169+5</f>
        <v>45722</v>
      </c>
      <c r="K169" s="9" t="s">
        <v>22</v>
      </c>
      <c r="L169" s="66">
        <f>J169+30</f>
        <v>45752</v>
      </c>
      <c r="M169" s="62">
        <v>60</v>
      </c>
      <c r="N169" s="66">
        <f>L169+M169</f>
        <v>45812</v>
      </c>
      <c r="O169" s="3" t="s">
        <v>23</v>
      </c>
    </row>
    <row r="170" spans="1:15" ht="42" customHeight="1" x14ac:dyDescent="0.25">
      <c r="A170" s="105" t="s">
        <v>24</v>
      </c>
      <c r="B170" s="105"/>
      <c r="C170" s="105"/>
      <c r="D170" s="8">
        <f>D169</f>
        <v>21507956</v>
      </c>
      <c r="E170" s="8">
        <f t="shared" ref="E170:F170" si="62">E169</f>
        <v>0</v>
      </c>
      <c r="F170" s="8">
        <f t="shared" si="62"/>
        <v>21507956</v>
      </c>
      <c r="G170" s="11"/>
      <c r="H170" s="11"/>
      <c r="I170" s="11"/>
      <c r="J170" s="11"/>
      <c r="K170" s="11"/>
      <c r="L170" s="11"/>
      <c r="M170" s="11"/>
      <c r="N170" s="11"/>
      <c r="O170" s="11"/>
    </row>
    <row r="171" spans="1:15" ht="42" customHeight="1" x14ac:dyDescent="0.25">
      <c r="A171" s="106" t="s">
        <v>84</v>
      </c>
      <c r="B171" s="106"/>
      <c r="C171" s="106"/>
      <c r="D171" s="106"/>
      <c r="E171" s="106"/>
      <c r="F171" s="106"/>
      <c r="G171" s="106"/>
      <c r="H171" s="106"/>
      <c r="I171" s="106"/>
      <c r="J171" s="106"/>
      <c r="K171" s="106"/>
      <c r="L171" s="106"/>
      <c r="M171" s="106"/>
      <c r="N171" s="106"/>
      <c r="O171" s="106"/>
    </row>
    <row r="172" spans="1:15" ht="42" customHeight="1" x14ac:dyDescent="0.25">
      <c r="A172" s="13">
        <v>103</v>
      </c>
      <c r="B172" s="63">
        <v>2261</v>
      </c>
      <c r="C172" s="2" t="s">
        <v>21</v>
      </c>
      <c r="D172" s="95">
        <v>164300000</v>
      </c>
      <c r="E172" s="95">
        <v>0</v>
      </c>
      <c r="F172" s="95">
        <f>D172+E172</f>
        <v>164300000</v>
      </c>
      <c r="G172" s="2" t="s">
        <v>217</v>
      </c>
      <c r="H172" s="67" t="s">
        <v>128</v>
      </c>
      <c r="I172" s="70">
        <v>45726</v>
      </c>
      <c r="J172" s="70">
        <f>I172+5</f>
        <v>45731</v>
      </c>
      <c r="K172" s="67" t="s">
        <v>22</v>
      </c>
      <c r="L172" s="70">
        <f>J172+30</f>
        <v>45761</v>
      </c>
      <c r="M172" s="67">
        <v>90</v>
      </c>
      <c r="N172" s="70">
        <f>L172+M172</f>
        <v>45851</v>
      </c>
      <c r="O172" s="73" t="s">
        <v>23</v>
      </c>
    </row>
    <row r="173" spans="1:15" ht="102" customHeight="1" x14ac:dyDescent="0.25">
      <c r="A173" s="13">
        <v>104</v>
      </c>
      <c r="B173" s="63">
        <v>2313</v>
      </c>
      <c r="C173" s="67" t="s">
        <v>21</v>
      </c>
      <c r="D173" s="95">
        <v>243128065</v>
      </c>
      <c r="E173" s="95">
        <v>0</v>
      </c>
      <c r="F173" s="68">
        <f>D173-E173</f>
        <v>243128065</v>
      </c>
      <c r="G173" s="2" t="s">
        <v>218</v>
      </c>
      <c r="H173" s="67" t="s">
        <v>109</v>
      </c>
      <c r="I173" s="70">
        <v>45691</v>
      </c>
      <c r="J173" s="70">
        <f>I173+30</f>
        <v>45721</v>
      </c>
      <c r="K173" s="67" t="s">
        <v>22</v>
      </c>
      <c r="L173" s="70">
        <f>J173+45</f>
        <v>45766</v>
      </c>
      <c r="M173" s="67">
        <v>120</v>
      </c>
      <c r="N173" s="70">
        <f>L173+M173</f>
        <v>45886</v>
      </c>
      <c r="O173" s="73" t="s">
        <v>23</v>
      </c>
    </row>
    <row r="174" spans="1:15" ht="84" customHeight="1" x14ac:dyDescent="0.25">
      <c r="A174" s="13">
        <v>105</v>
      </c>
      <c r="B174" s="63">
        <v>2313</v>
      </c>
      <c r="C174" s="67" t="s">
        <v>21</v>
      </c>
      <c r="D174" s="95">
        <v>1410750000</v>
      </c>
      <c r="E174" s="95">
        <v>0</v>
      </c>
      <c r="F174" s="68">
        <f>D174-E174</f>
        <v>1410750000</v>
      </c>
      <c r="G174" s="67" t="s">
        <v>219</v>
      </c>
      <c r="H174" s="67" t="s">
        <v>109</v>
      </c>
      <c r="I174" s="70">
        <v>45698</v>
      </c>
      <c r="J174" s="70">
        <f>I174+45</f>
        <v>45743</v>
      </c>
      <c r="K174" s="67" t="s">
        <v>22</v>
      </c>
      <c r="L174" s="70">
        <f>J174+45</f>
        <v>45788</v>
      </c>
      <c r="M174" s="67">
        <v>120</v>
      </c>
      <c r="N174" s="70">
        <f>L174+M174</f>
        <v>45908</v>
      </c>
      <c r="O174" s="73" t="s">
        <v>23</v>
      </c>
    </row>
    <row r="175" spans="1:15" ht="83.25" customHeight="1" x14ac:dyDescent="0.25">
      <c r="A175" s="13">
        <v>106</v>
      </c>
      <c r="B175" s="63">
        <v>2313</v>
      </c>
      <c r="C175" s="67" t="s">
        <v>21</v>
      </c>
      <c r="D175" s="95">
        <v>894332840</v>
      </c>
      <c r="E175" s="95">
        <v>0</v>
      </c>
      <c r="F175" s="68">
        <f>D175-E175</f>
        <v>894332840</v>
      </c>
      <c r="G175" s="67" t="s">
        <v>220</v>
      </c>
      <c r="H175" s="67" t="s">
        <v>109</v>
      </c>
      <c r="I175" s="70">
        <v>45705</v>
      </c>
      <c r="J175" s="70">
        <f>I175+30</f>
        <v>45735</v>
      </c>
      <c r="K175" s="67" t="s">
        <v>22</v>
      </c>
      <c r="L175" s="70">
        <f>J175+45</f>
        <v>45780</v>
      </c>
      <c r="M175" s="67">
        <v>120</v>
      </c>
      <c r="N175" s="70">
        <f>L175+M175</f>
        <v>45900</v>
      </c>
      <c r="O175" s="73" t="s">
        <v>23</v>
      </c>
    </row>
    <row r="176" spans="1:15" ht="83.25" customHeight="1" x14ac:dyDescent="0.25">
      <c r="A176" s="13">
        <v>107</v>
      </c>
      <c r="B176" s="63">
        <v>2313</v>
      </c>
      <c r="C176" s="67" t="s">
        <v>21</v>
      </c>
      <c r="D176" s="95">
        <v>466850680</v>
      </c>
      <c r="E176" s="95">
        <v>0</v>
      </c>
      <c r="F176" s="68">
        <f>D176-E176</f>
        <v>466850680</v>
      </c>
      <c r="G176" s="67" t="s">
        <v>221</v>
      </c>
      <c r="H176" s="67" t="s">
        <v>109</v>
      </c>
      <c r="I176" s="70">
        <v>45740</v>
      </c>
      <c r="J176" s="70">
        <f>I176+30</f>
        <v>45770</v>
      </c>
      <c r="K176" s="67" t="s">
        <v>22</v>
      </c>
      <c r="L176" s="70">
        <f>J176+45</f>
        <v>45815</v>
      </c>
      <c r="M176" s="67">
        <v>120</v>
      </c>
      <c r="N176" s="70">
        <f>L176+M176</f>
        <v>45935</v>
      </c>
      <c r="O176" s="73" t="s">
        <v>23</v>
      </c>
    </row>
    <row r="177" spans="1:15" ht="42" customHeight="1" x14ac:dyDescent="0.25">
      <c r="A177" s="105" t="s">
        <v>24</v>
      </c>
      <c r="B177" s="105"/>
      <c r="C177" s="105"/>
      <c r="D177" s="8">
        <f>SUM(D172:D176)</f>
        <v>3179361585</v>
      </c>
      <c r="E177" s="8">
        <f t="shared" ref="E177:F177" si="63">SUM(E172:E176)</f>
        <v>0</v>
      </c>
      <c r="F177" s="8">
        <f t="shared" si="63"/>
        <v>3179361585</v>
      </c>
      <c r="G177" s="11"/>
      <c r="H177" s="11"/>
      <c r="I177" s="11"/>
      <c r="J177" s="11"/>
      <c r="K177" s="11"/>
      <c r="L177" s="11"/>
      <c r="M177" s="11"/>
      <c r="N177" s="11"/>
      <c r="O177" s="11"/>
    </row>
    <row r="178" spans="1:15" ht="42" customHeight="1" x14ac:dyDescent="0.25">
      <c r="A178" s="104" t="s">
        <v>222</v>
      </c>
      <c r="B178" s="104"/>
      <c r="C178" s="104"/>
      <c r="D178" s="104"/>
      <c r="E178" s="104"/>
      <c r="F178" s="104"/>
      <c r="G178" s="104"/>
      <c r="H178" s="104"/>
      <c r="I178" s="104"/>
      <c r="J178" s="104"/>
      <c r="K178" s="104"/>
      <c r="L178" s="104"/>
      <c r="M178" s="104"/>
      <c r="N178" s="104"/>
      <c r="O178" s="104"/>
    </row>
    <row r="179" spans="1:15" ht="42" customHeight="1" x14ac:dyDescent="0.25">
      <c r="A179" s="13">
        <v>108</v>
      </c>
      <c r="B179" s="63">
        <v>2441</v>
      </c>
      <c r="C179" s="67" t="s">
        <v>21</v>
      </c>
      <c r="D179" s="95">
        <v>54000000</v>
      </c>
      <c r="E179" s="95">
        <v>0</v>
      </c>
      <c r="F179" s="68">
        <f t="shared" ref="F179:F191" si="64">D179-E179</f>
        <v>54000000</v>
      </c>
      <c r="G179" s="67" t="s">
        <v>85</v>
      </c>
      <c r="H179" s="71" t="s">
        <v>121</v>
      </c>
      <c r="I179" s="70">
        <v>45717</v>
      </c>
      <c r="J179" s="70">
        <f>I179+5</f>
        <v>45722</v>
      </c>
      <c r="K179" s="67" t="s">
        <v>22</v>
      </c>
      <c r="L179" s="70">
        <f>J179+30</f>
        <v>45752</v>
      </c>
      <c r="M179" s="74">
        <v>60</v>
      </c>
      <c r="N179" s="70">
        <f t="shared" ref="N179:N191" si="65">+L179+M179</f>
        <v>45812</v>
      </c>
      <c r="O179" s="73" t="s">
        <v>23</v>
      </c>
    </row>
    <row r="180" spans="1:15" ht="67.150000000000006" customHeight="1" x14ac:dyDescent="0.25">
      <c r="A180" s="13">
        <f>A179+1</f>
        <v>109</v>
      </c>
      <c r="B180" s="63">
        <v>2482</v>
      </c>
      <c r="C180" s="67" t="s">
        <v>21</v>
      </c>
      <c r="D180" s="95">
        <v>60000000</v>
      </c>
      <c r="E180" s="95">
        <v>0</v>
      </c>
      <c r="F180" s="68">
        <f>D180-E180</f>
        <v>60000000</v>
      </c>
      <c r="G180" s="71" t="s">
        <v>184</v>
      </c>
      <c r="H180" s="2" t="s">
        <v>214</v>
      </c>
      <c r="I180" s="70">
        <v>45717</v>
      </c>
      <c r="J180" s="70">
        <f>I180+7</f>
        <v>45724</v>
      </c>
      <c r="K180" s="67" t="s">
        <v>22</v>
      </c>
      <c r="L180" s="70">
        <f>J180+30</f>
        <v>45754</v>
      </c>
      <c r="M180" s="74">
        <v>60</v>
      </c>
      <c r="N180" s="70">
        <f t="shared" si="65"/>
        <v>45814</v>
      </c>
      <c r="O180" s="73" t="s">
        <v>23</v>
      </c>
    </row>
    <row r="181" spans="1:15" ht="68.45" customHeight="1" x14ac:dyDescent="0.25">
      <c r="A181" s="13">
        <v>110</v>
      </c>
      <c r="B181" s="63">
        <v>2482</v>
      </c>
      <c r="C181" s="67" t="s">
        <v>21</v>
      </c>
      <c r="D181" s="95">
        <f>55000000+8000000+30000000</f>
        <v>93000000</v>
      </c>
      <c r="E181" s="95">
        <v>0</v>
      </c>
      <c r="F181" s="68">
        <f t="shared" si="64"/>
        <v>93000000</v>
      </c>
      <c r="G181" s="71" t="s">
        <v>226</v>
      </c>
      <c r="H181" s="2" t="s">
        <v>214</v>
      </c>
      <c r="I181" s="70">
        <v>45717</v>
      </c>
      <c r="J181" s="70">
        <f>I181+7</f>
        <v>45724</v>
      </c>
      <c r="K181" s="67" t="s">
        <v>22</v>
      </c>
      <c r="L181" s="70">
        <f>J181+30</f>
        <v>45754</v>
      </c>
      <c r="M181" s="74">
        <v>60</v>
      </c>
      <c r="N181" s="70">
        <f t="shared" ref="N181" si="66">+L181+M181</f>
        <v>45814</v>
      </c>
      <c r="O181" s="73" t="s">
        <v>23</v>
      </c>
    </row>
    <row r="182" spans="1:15" ht="42" customHeight="1" x14ac:dyDescent="0.25">
      <c r="A182" s="13">
        <f t="shared" ref="A182" si="67">A181+1</f>
        <v>111</v>
      </c>
      <c r="B182" s="63">
        <v>2482</v>
      </c>
      <c r="C182" s="67" t="s">
        <v>21</v>
      </c>
      <c r="D182" s="95">
        <v>5000000</v>
      </c>
      <c r="E182" s="95">
        <v>0</v>
      </c>
      <c r="F182" s="68">
        <f t="shared" si="64"/>
        <v>5000000</v>
      </c>
      <c r="G182" s="67" t="s">
        <v>185</v>
      </c>
      <c r="H182" s="71" t="s">
        <v>116</v>
      </c>
      <c r="I182" s="70">
        <v>45782</v>
      </c>
      <c r="J182" s="70">
        <f>I182+7</f>
        <v>45789</v>
      </c>
      <c r="K182" s="67" t="s">
        <v>22</v>
      </c>
      <c r="L182" s="70">
        <f>J182+7</f>
        <v>45796</v>
      </c>
      <c r="M182" s="80">
        <v>30</v>
      </c>
      <c r="N182" s="70">
        <f t="shared" si="65"/>
        <v>45826</v>
      </c>
      <c r="O182" s="73" t="s">
        <v>23</v>
      </c>
    </row>
    <row r="183" spans="1:15" ht="42" customHeight="1" x14ac:dyDescent="0.25">
      <c r="A183" s="13">
        <v>112</v>
      </c>
      <c r="B183" s="63">
        <v>2482</v>
      </c>
      <c r="C183" s="67" t="s">
        <v>21</v>
      </c>
      <c r="D183" s="95">
        <v>125000000</v>
      </c>
      <c r="E183" s="95">
        <v>0</v>
      </c>
      <c r="F183" s="68">
        <f t="shared" si="64"/>
        <v>125000000</v>
      </c>
      <c r="G183" s="67" t="s">
        <v>186</v>
      </c>
      <c r="H183" s="71" t="s">
        <v>128</v>
      </c>
      <c r="I183" s="70">
        <v>45744</v>
      </c>
      <c r="J183" s="70">
        <f>+I183+5</f>
        <v>45749</v>
      </c>
      <c r="K183" s="79" t="s">
        <v>22</v>
      </c>
      <c r="L183" s="70">
        <f>I183+30</f>
        <v>45774</v>
      </c>
      <c r="M183" s="74">
        <v>60</v>
      </c>
      <c r="N183" s="70">
        <f>L183+M183</f>
        <v>45834</v>
      </c>
      <c r="O183" s="73" t="s">
        <v>23</v>
      </c>
    </row>
    <row r="184" spans="1:15" ht="59.45" customHeight="1" x14ac:dyDescent="0.25">
      <c r="A184" s="13">
        <v>113</v>
      </c>
      <c r="B184" s="63">
        <v>2442</v>
      </c>
      <c r="C184" s="67" t="s">
        <v>21</v>
      </c>
      <c r="D184" s="95">
        <f>118695147+5000000</f>
        <v>123695147</v>
      </c>
      <c r="E184" s="95">
        <v>0</v>
      </c>
      <c r="F184" s="68">
        <f t="shared" si="64"/>
        <v>123695147</v>
      </c>
      <c r="G184" s="67" t="s">
        <v>131</v>
      </c>
      <c r="H184" s="71" t="s">
        <v>128</v>
      </c>
      <c r="I184" s="70">
        <v>45818</v>
      </c>
      <c r="J184" s="70">
        <f>I184+5</f>
        <v>45823</v>
      </c>
      <c r="K184" s="79" t="s">
        <v>22</v>
      </c>
      <c r="L184" s="70">
        <f>J184+30</f>
        <v>45853</v>
      </c>
      <c r="M184" s="67">
        <v>60</v>
      </c>
      <c r="N184" s="70">
        <f t="shared" si="65"/>
        <v>45913</v>
      </c>
      <c r="O184" s="73" t="s">
        <v>23</v>
      </c>
    </row>
    <row r="185" spans="1:15" ht="73.150000000000006" customHeight="1" x14ac:dyDescent="0.25">
      <c r="A185" s="13">
        <v>114</v>
      </c>
      <c r="B185" s="63">
        <v>2444</v>
      </c>
      <c r="C185" s="67" t="s">
        <v>21</v>
      </c>
      <c r="D185" s="95">
        <v>33575000</v>
      </c>
      <c r="E185" s="95">
        <v>0</v>
      </c>
      <c r="F185" s="68">
        <f>D185-E185</f>
        <v>33575000</v>
      </c>
      <c r="G185" s="71" t="s">
        <v>159</v>
      </c>
      <c r="H185" s="71" t="s">
        <v>128</v>
      </c>
      <c r="I185" s="70">
        <v>45814</v>
      </c>
      <c r="J185" s="70">
        <f>+I185+5</f>
        <v>45819</v>
      </c>
      <c r="K185" s="79" t="s">
        <v>22</v>
      </c>
      <c r="L185" s="70">
        <f>I185+30</f>
        <v>45844</v>
      </c>
      <c r="M185" s="74">
        <v>60</v>
      </c>
      <c r="N185" s="70">
        <f>L185+M185</f>
        <v>45904</v>
      </c>
      <c r="O185" s="73" t="s">
        <v>23</v>
      </c>
    </row>
    <row r="186" spans="1:15" ht="73.150000000000006" customHeight="1" x14ac:dyDescent="0.25">
      <c r="A186" s="13">
        <v>115</v>
      </c>
      <c r="B186" s="63">
        <v>2442</v>
      </c>
      <c r="C186" s="67" t="s">
        <v>21</v>
      </c>
      <c r="D186" s="95">
        <v>60000000</v>
      </c>
      <c r="E186" s="95">
        <v>0</v>
      </c>
      <c r="F186" s="68">
        <f t="shared" ref="F186:F187" si="68">D186-E186</f>
        <v>60000000</v>
      </c>
      <c r="G186" s="67" t="s">
        <v>187</v>
      </c>
      <c r="H186" s="71" t="s">
        <v>128</v>
      </c>
      <c r="I186" s="70">
        <v>45723</v>
      </c>
      <c r="J186" s="70">
        <f t="shared" ref="J186:J187" si="69">+I186+5</f>
        <v>45728</v>
      </c>
      <c r="K186" s="79" t="s">
        <v>130</v>
      </c>
      <c r="L186" s="70">
        <f t="shared" ref="L186:L187" si="70">I186+30</f>
        <v>45753</v>
      </c>
      <c r="M186" s="74">
        <v>60</v>
      </c>
      <c r="N186" s="70">
        <f t="shared" ref="N186:N187" si="71">L186+M186</f>
        <v>45813</v>
      </c>
      <c r="O186" s="73" t="s">
        <v>23</v>
      </c>
    </row>
    <row r="187" spans="1:15" ht="73.150000000000006" customHeight="1" x14ac:dyDescent="0.25">
      <c r="A187" s="13">
        <v>116</v>
      </c>
      <c r="B187" s="63">
        <v>2442</v>
      </c>
      <c r="C187" s="67" t="s">
        <v>21</v>
      </c>
      <c r="D187" s="95">
        <v>25000000</v>
      </c>
      <c r="E187" s="95">
        <v>0</v>
      </c>
      <c r="F187" s="68">
        <f t="shared" si="68"/>
        <v>25000000</v>
      </c>
      <c r="G187" s="67" t="s">
        <v>129</v>
      </c>
      <c r="H187" s="71" t="s">
        <v>128</v>
      </c>
      <c r="I187" s="70">
        <v>45816</v>
      </c>
      <c r="J187" s="70">
        <f t="shared" si="69"/>
        <v>45821</v>
      </c>
      <c r="K187" s="79" t="s">
        <v>22</v>
      </c>
      <c r="L187" s="70">
        <f t="shared" si="70"/>
        <v>45846</v>
      </c>
      <c r="M187" s="74">
        <v>60</v>
      </c>
      <c r="N187" s="70">
        <f t="shared" si="71"/>
        <v>45906</v>
      </c>
      <c r="O187" s="73" t="s">
        <v>23</v>
      </c>
    </row>
    <row r="188" spans="1:15" ht="30" x14ac:dyDescent="0.25">
      <c r="A188" s="13">
        <v>117</v>
      </c>
      <c r="B188" s="63">
        <v>245</v>
      </c>
      <c r="C188" s="67" t="s">
        <v>21</v>
      </c>
      <c r="D188" s="95">
        <v>95000000</v>
      </c>
      <c r="E188" s="95">
        <v>0</v>
      </c>
      <c r="F188" s="68">
        <f t="shared" si="64"/>
        <v>95000000</v>
      </c>
      <c r="G188" s="67" t="s">
        <v>161</v>
      </c>
      <c r="H188" s="67" t="s">
        <v>223</v>
      </c>
      <c r="I188" s="70">
        <v>45717</v>
      </c>
      <c r="J188" s="70">
        <f>I188+5</f>
        <v>45722</v>
      </c>
      <c r="K188" s="67" t="s">
        <v>22</v>
      </c>
      <c r="L188" s="70">
        <f>J188+30</f>
        <v>45752</v>
      </c>
      <c r="M188" s="74">
        <v>60</v>
      </c>
      <c r="N188" s="70">
        <f t="shared" si="65"/>
        <v>45812</v>
      </c>
      <c r="O188" s="73" t="s">
        <v>23</v>
      </c>
    </row>
    <row r="189" spans="1:15" ht="30" x14ac:dyDescent="0.25">
      <c r="A189" s="13">
        <v>118</v>
      </c>
      <c r="B189" s="63">
        <v>245</v>
      </c>
      <c r="C189" s="67" t="s">
        <v>21</v>
      </c>
      <c r="D189" s="95">
        <v>350000000</v>
      </c>
      <c r="E189" s="95">
        <v>0</v>
      </c>
      <c r="F189" s="68">
        <f t="shared" si="64"/>
        <v>350000000</v>
      </c>
      <c r="G189" s="67" t="s">
        <v>160</v>
      </c>
      <c r="H189" s="67" t="s">
        <v>109</v>
      </c>
      <c r="I189" s="70">
        <v>45717</v>
      </c>
      <c r="J189" s="70">
        <f>I189+30</f>
        <v>45747</v>
      </c>
      <c r="K189" s="67" t="s">
        <v>22</v>
      </c>
      <c r="L189" s="70">
        <f>J189+30</f>
        <v>45777</v>
      </c>
      <c r="M189" s="74">
        <v>60</v>
      </c>
      <c r="N189" s="70">
        <f t="shared" si="65"/>
        <v>45837</v>
      </c>
      <c r="O189" s="73" t="s">
        <v>23</v>
      </c>
    </row>
    <row r="190" spans="1:15" ht="30" x14ac:dyDescent="0.25">
      <c r="A190" s="13">
        <v>119</v>
      </c>
      <c r="B190" s="63">
        <v>245</v>
      </c>
      <c r="C190" s="67" t="s">
        <v>21</v>
      </c>
      <c r="D190" s="95">
        <v>37000000</v>
      </c>
      <c r="E190" s="95">
        <v>0</v>
      </c>
      <c r="F190" s="68">
        <f t="shared" si="64"/>
        <v>37000000</v>
      </c>
      <c r="G190" s="67" t="s">
        <v>188</v>
      </c>
      <c r="H190" s="67" t="s">
        <v>228</v>
      </c>
      <c r="I190" s="70">
        <v>45717</v>
      </c>
      <c r="J190" s="70">
        <f>I190+5</f>
        <v>45722</v>
      </c>
      <c r="K190" s="67" t="s">
        <v>22</v>
      </c>
      <c r="L190" s="70">
        <f>J190+30</f>
        <v>45752</v>
      </c>
      <c r="M190" s="74">
        <v>60</v>
      </c>
      <c r="N190" s="70">
        <f t="shared" ref="N190" si="72">+L190+M190</f>
        <v>45812</v>
      </c>
      <c r="O190" s="73" t="s">
        <v>23</v>
      </c>
    </row>
    <row r="191" spans="1:15" ht="57" customHeight="1" x14ac:dyDescent="0.25">
      <c r="A191" s="13">
        <v>120</v>
      </c>
      <c r="B191" s="63">
        <v>245</v>
      </c>
      <c r="C191" s="67" t="s">
        <v>21</v>
      </c>
      <c r="D191" s="95">
        <v>3000000</v>
      </c>
      <c r="E191" s="95">
        <v>0</v>
      </c>
      <c r="F191" s="68">
        <f t="shared" si="64"/>
        <v>3000000</v>
      </c>
      <c r="G191" s="67" t="s">
        <v>227</v>
      </c>
      <c r="H191" s="67" t="s">
        <v>117</v>
      </c>
      <c r="I191" s="70">
        <v>45717</v>
      </c>
      <c r="J191" s="70">
        <f>I191+7</f>
        <v>45724</v>
      </c>
      <c r="K191" s="67" t="s">
        <v>22</v>
      </c>
      <c r="L191" s="70">
        <f>J191+30</f>
        <v>45754</v>
      </c>
      <c r="M191" s="74">
        <v>30</v>
      </c>
      <c r="N191" s="70">
        <f t="shared" si="65"/>
        <v>45784</v>
      </c>
      <c r="O191" s="73" t="s">
        <v>23</v>
      </c>
    </row>
    <row r="192" spans="1:15" ht="42" customHeight="1" x14ac:dyDescent="0.25">
      <c r="A192" s="105" t="s">
        <v>24</v>
      </c>
      <c r="B192" s="105"/>
      <c r="C192" s="105"/>
      <c r="D192" s="19">
        <f>SUM(D179:D191)</f>
        <v>1064270147</v>
      </c>
      <c r="E192" s="19">
        <f>SUM(E179:E191)</f>
        <v>0</v>
      </c>
      <c r="F192" s="19">
        <f>SUM(F179:F191)</f>
        <v>1064270147</v>
      </c>
      <c r="G192" s="33"/>
      <c r="H192" s="33"/>
      <c r="I192" s="33"/>
      <c r="J192" s="33"/>
      <c r="K192" s="33"/>
      <c r="L192" s="33"/>
      <c r="M192" s="33"/>
      <c r="N192" s="33"/>
      <c r="O192" s="11"/>
    </row>
    <row r="193" spans="1:15" ht="42" customHeight="1" x14ac:dyDescent="0.25">
      <c r="A193" s="20" t="s">
        <v>86</v>
      </c>
      <c r="B193" s="20"/>
      <c r="C193" s="21"/>
      <c r="D193" s="22">
        <f>D192+D177+D170</f>
        <v>4265139688</v>
      </c>
      <c r="E193" s="22">
        <f t="shared" ref="E193:F193" si="73">E192+E177+E170</f>
        <v>0</v>
      </c>
      <c r="F193" s="22">
        <f t="shared" si="73"/>
        <v>4265139688</v>
      </c>
      <c r="G193" s="22"/>
      <c r="H193" s="22"/>
      <c r="I193" s="22"/>
      <c r="J193" s="22"/>
      <c r="K193" s="22"/>
      <c r="L193" s="22"/>
      <c r="M193" s="22"/>
      <c r="N193" s="22"/>
      <c r="O193" s="22"/>
    </row>
    <row r="194" spans="1:15" ht="42" customHeight="1" x14ac:dyDescent="0.25">
      <c r="A194" s="23" t="s">
        <v>87</v>
      </c>
      <c r="B194" s="23"/>
      <c r="C194" s="24"/>
      <c r="D194" s="25">
        <f>D193+D166</f>
        <v>58418212898</v>
      </c>
      <c r="E194" s="25">
        <f t="shared" ref="E194:F194" si="74">E193+E166</f>
        <v>0</v>
      </c>
      <c r="F194" s="25">
        <f t="shared" si="74"/>
        <v>58418212898</v>
      </c>
      <c r="G194" s="26"/>
      <c r="H194" s="27"/>
      <c r="I194" s="27"/>
      <c r="J194" s="28"/>
      <c r="K194" s="28"/>
      <c r="L194" s="28"/>
      <c r="M194" s="28"/>
      <c r="N194" s="28"/>
      <c r="O194" s="28"/>
    </row>
    <row r="195" spans="1:15" ht="24.6" customHeight="1" x14ac:dyDescent="0.25">
      <c r="A195" s="29"/>
      <c r="B195" s="29"/>
      <c r="C195" s="29"/>
      <c r="D195" s="30"/>
      <c r="E195" s="29"/>
      <c r="F195" s="29"/>
      <c r="G195" s="29"/>
      <c r="H195" s="29"/>
      <c r="I195" s="29"/>
      <c r="J195" s="29"/>
      <c r="K195" s="29"/>
      <c r="L195" s="29"/>
      <c r="M195" s="29"/>
      <c r="N195" s="29"/>
    </row>
    <row r="196" spans="1:15" ht="25.5" x14ac:dyDescent="0.25">
      <c r="C196" s="54" t="s">
        <v>96</v>
      </c>
      <c r="D196" s="54"/>
      <c r="E196" s="54"/>
      <c r="F196" s="54"/>
      <c r="H196" s="120" t="s">
        <v>95</v>
      </c>
      <c r="I196" s="120"/>
      <c r="J196" s="120"/>
      <c r="K196" s="120"/>
      <c r="L196" s="120"/>
      <c r="M196" s="120"/>
      <c r="N196" s="54"/>
    </row>
    <row r="197" spans="1:15" ht="26.25" x14ac:dyDescent="0.4">
      <c r="C197" s="55"/>
      <c r="D197" s="56"/>
      <c r="E197" s="56"/>
      <c r="H197" s="55"/>
      <c r="I197" s="56"/>
      <c r="J197" s="56"/>
    </row>
    <row r="198" spans="1:15" ht="26.25" x14ac:dyDescent="0.4">
      <c r="C198" s="55"/>
      <c r="D198" s="56"/>
      <c r="E198" s="56"/>
      <c r="H198" s="55"/>
      <c r="I198" s="56"/>
      <c r="J198" s="56"/>
    </row>
    <row r="199" spans="1:15" ht="26.25" x14ac:dyDescent="0.4">
      <c r="C199" s="55"/>
      <c r="D199" s="56"/>
      <c r="E199" s="56"/>
      <c r="H199" s="55"/>
      <c r="I199" s="56"/>
      <c r="J199" s="56"/>
    </row>
    <row r="200" spans="1:15" ht="26.25" x14ac:dyDescent="0.4">
      <c r="C200" s="55"/>
      <c r="D200" s="57"/>
      <c r="E200" s="56"/>
      <c r="H200" s="55"/>
      <c r="I200" s="56"/>
      <c r="J200" s="56"/>
    </row>
    <row r="201" spans="1:15" ht="26.25" x14ac:dyDescent="0.4">
      <c r="C201" s="56"/>
      <c r="D201" s="56"/>
      <c r="E201" s="56"/>
      <c r="H201" s="56"/>
      <c r="I201" s="56"/>
      <c r="J201" s="56"/>
    </row>
    <row r="202" spans="1:15" ht="63" customHeight="1" x14ac:dyDescent="0.25">
      <c r="A202" s="121" t="s">
        <v>99</v>
      </c>
      <c r="B202" s="121"/>
      <c r="C202" s="121"/>
      <c r="D202" s="121"/>
      <c r="E202" s="121"/>
      <c r="F202" s="121"/>
      <c r="H202" s="121" t="s">
        <v>98</v>
      </c>
      <c r="I202" s="121"/>
      <c r="J202" s="121"/>
      <c r="K202" s="121"/>
      <c r="L202" s="121"/>
      <c r="M202" s="121"/>
      <c r="N202" s="121"/>
    </row>
    <row r="203" spans="1:15" ht="25.15" customHeight="1" x14ac:dyDescent="0.25"/>
  </sheetData>
  <mergeCells count="104">
    <mergeCell ref="A102:C102"/>
    <mergeCell ref="A43:C43"/>
    <mergeCell ref="A59:O59"/>
    <mergeCell ref="A92:B92"/>
    <mergeCell ref="A93:O93"/>
    <mergeCell ref="A97:C97"/>
    <mergeCell ref="A98:O98"/>
    <mergeCell ref="A85:O85"/>
    <mergeCell ref="A48:O48"/>
    <mergeCell ref="A52:C52"/>
    <mergeCell ref="A53:O53"/>
    <mergeCell ref="A58:C58"/>
    <mergeCell ref="A47:B47"/>
    <mergeCell ref="D10:L10"/>
    <mergeCell ref="A12:A13"/>
    <mergeCell ref="B12:B13"/>
    <mergeCell ref="C12:C13"/>
    <mergeCell ref="D12:D13"/>
    <mergeCell ref="E12:E13"/>
    <mergeCell ref="F12:F13"/>
    <mergeCell ref="G12:G13"/>
    <mergeCell ref="H12:H13"/>
    <mergeCell ref="H196:M196"/>
    <mergeCell ref="H202:N202"/>
    <mergeCell ref="A202:F202"/>
    <mergeCell ref="O12:O13"/>
    <mergeCell ref="A14:O14"/>
    <mergeCell ref="A15:O15"/>
    <mergeCell ref="I12:I13"/>
    <mergeCell ref="J12:J13"/>
    <mergeCell ref="K12:K13"/>
    <mergeCell ref="L12:L13"/>
    <mergeCell ref="M12:M13"/>
    <mergeCell ref="N12:N13"/>
    <mergeCell ref="A37:C37"/>
    <mergeCell ref="A38:O38"/>
    <mergeCell ref="A40:B40"/>
    <mergeCell ref="A41:O41"/>
    <mergeCell ref="O113:O114"/>
    <mergeCell ref="A44:N44"/>
    <mergeCell ref="A77:C77"/>
    <mergeCell ref="A78:O78"/>
    <mergeCell ref="A84:C84"/>
    <mergeCell ref="A111:O111"/>
    <mergeCell ref="A88:C88"/>
    <mergeCell ref="A89:O89"/>
    <mergeCell ref="A103:O103"/>
    <mergeCell ref="A110:C110"/>
    <mergeCell ref="N113:N114"/>
    <mergeCell ref="A115:A116"/>
    <mergeCell ref="B115:B116"/>
    <mergeCell ref="C115:C116"/>
    <mergeCell ref="D115:D116"/>
    <mergeCell ref="E115:E116"/>
    <mergeCell ref="F115:F116"/>
    <mergeCell ref="H115:H116"/>
    <mergeCell ref="I115:I116"/>
    <mergeCell ref="J115:J116"/>
    <mergeCell ref="H113:H114"/>
    <mergeCell ref="I113:I114"/>
    <mergeCell ref="J113:J114"/>
    <mergeCell ref="K113:K114"/>
    <mergeCell ref="L113:L114"/>
    <mergeCell ref="M113:M114"/>
    <mergeCell ref="A113:A114"/>
    <mergeCell ref="B113:B114"/>
    <mergeCell ref="C113:C114"/>
    <mergeCell ref="D113:D114"/>
    <mergeCell ref="E113:E114"/>
    <mergeCell ref="F113:F114"/>
    <mergeCell ref="A122:C122"/>
    <mergeCell ref="A123:O123"/>
    <mergeCell ref="A125:C125"/>
    <mergeCell ref="A126:O126"/>
    <mergeCell ref="A132:C132"/>
    <mergeCell ref="K115:K116"/>
    <mergeCell ref="L115:L116"/>
    <mergeCell ref="M115:M116"/>
    <mergeCell ref="N115:N116"/>
    <mergeCell ref="O115:O116"/>
    <mergeCell ref="A118:B118"/>
    <mergeCell ref="A119:O119"/>
    <mergeCell ref="A178:O178"/>
    <mergeCell ref="A192:C192"/>
    <mergeCell ref="A168:O168"/>
    <mergeCell ref="A170:C170"/>
    <mergeCell ref="A171:O171"/>
    <mergeCell ref="A177:C177"/>
    <mergeCell ref="A133:O133"/>
    <mergeCell ref="A138:C138"/>
    <mergeCell ref="A139:O139"/>
    <mergeCell ref="A143:C143"/>
    <mergeCell ref="A144:O144"/>
    <mergeCell ref="A152:C152"/>
    <mergeCell ref="A163:O163"/>
    <mergeCell ref="A165:C165"/>
    <mergeCell ref="A166:C166"/>
    <mergeCell ref="A167:O167"/>
    <mergeCell ref="A153:O153"/>
    <mergeCell ref="A155:C155"/>
    <mergeCell ref="A156:O156"/>
    <mergeCell ref="A159:C159"/>
    <mergeCell ref="A160:O160"/>
    <mergeCell ref="A162:C162"/>
  </mergeCells>
  <phoneticPr fontId="10" type="noConversion"/>
  <pageMargins left="0" right="0" top="0" bottom="0.59055118110236227" header="0" footer="0"/>
  <pageSetup paperSize="9" scale="49" fitToHeight="0" orientation="landscape" r:id="rId1"/>
  <headerFooter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PPM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</cp:lastModifiedBy>
  <cp:lastPrinted>2025-01-20T16:56:51Z</cp:lastPrinted>
  <dcterms:created xsi:type="dcterms:W3CDTF">2024-08-19T18:36:58Z</dcterms:created>
  <dcterms:modified xsi:type="dcterms:W3CDTF">2025-03-24T19:29:54Z</dcterms:modified>
</cp:coreProperties>
</file>